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Settings" sheetId="2" state="visible" r:id="rId2"/>
    <sheet xmlns:r="http://schemas.openxmlformats.org/officeDocument/2006/relationships" name="Dashboard" sheetId="3" state="visible" r:id="rId3"/>
    <sheet xmlns:r="http://schemas.openxmlformats.org/officeDocument/2006/relationships" name="Cancellation" sheetId="4" state="visible" r:id="rId4"/>
  </sheets>
  <definedNames>
    <definedName name="_xlnm._FilterDatabase" localSheetId="0" hidden="1">'Register'!$A$5:$T$55</definedName>
  </definedNames>
  <calcPr calcId="124519" fullCalcOnLoad="1"/>
</workbook>
</file>

<file path=xl/styles.xml><?xml version="1.0" encoding="utf-8"?>
<styleSheet xmlns="http://schemas.openxmlformats.org/spreadsheetml/2006/main">
  <numFmts count="5">
    <numFmt numFmtId="164" formatCode="yyyy-mm-dd h:mm:ss"/>
    <numFmt numFmtId="165" formatCode="dd-mmm-yyyy hh:mm"/>
    <numFmt numFmtId="166" formatCode="yyyy-mm-dd"/>
    <numFmt numFmtId="167" formatCode="dd-mmm-yyyy"/>
    <numFmt numFmtId="168" formatCode="dd-mmm hh:mm"/>
  </numFmts>
  <fonts count="5">
    <font>
      <name val="Calibri"/>
      <family val="2"/>
      <color theme="1"/>
      <sz val="11"/>
      <scheme val="minor"/>
    </font>
    <font>
      <b val="1"/>
      <color rgb="001F3A5F"/>
      <sz val="14"/>
    </font>
    <font>
      <i val="1"/>
      <color rgb="00555555"/>
    </font>
    <font>
      <b val="1"/>
      <color rgb="00FFFFFF"/>
    </font>
    <font>
      <b val="1"/>
    </font>
  </fonts>
  <fills count="5">
    <fill>
      <patternFill/>
    </fill>
    <fill>
      <patternFill patternType="gray125"/>
    </fill>
    <fill>
      <patternFill patternType="solid">
        <fgColor rgb="001F3A5F"/>
      </patternFill>
    </fill>
    <fill>
      <patternFill patternType="solid">
        <fgColor rgb="00FFF7CC"/>
      </patternFill>
    </fill>
    <fill>
      <patternFill patternType="solid">
        <fgColor rgb="00E3F1E7"/>
      </patternFill>
    </fill>
  </fills>
  <borders count="2">
    <border>
      <left/>
      <right/>
      <top/>
      <bottom/>
      <diagonal/>
    </border>
    <border>
      <left style="thin">
        <color rgb="00C9CED6"/>
      </left>
      <right style="thin">
        <color rgb="00C9CED6"/>
      </right>
      <top style="thin">
        <color rgb="00C9CED6"/>
      </top>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wrapText="1"/>
    </xf>
    <xf numFmtId="0" fontId="0" fillId="3" borderId="1" pivotButton="0" quotePrefix="0" xfId="0"/>
    <xf numFmtId="167" fontId="0" fillId="3" borderId="1" pivotButton="0" quotePrefix="0" xfId="0"/>
    <xf numFmtId="168" fontId="0" fillId="3" borderId="1" pivotButton="0" quotePrefix="0" xfId="0"/>
    <xf numFmtId="168" fontId="0" fillId="0" borderId="1" pivotButton="0" quotePrefix="0" xfId="0"/>
    <xf numFmtId="0" fontId="0" fillId="0" borderId="1" pivotButton="0" quotePrefix="0" xfId="0"/>
    <xf numFmtId="3" fontId="0" fillId="3" borderId="1" pivotButton="0" quotePrefix="0" xfId="0"/>
    <xf numFmtId="9" fontId="0" fillId="3" borderId="1" pivotButton="0" quotePrefix="0" xfId="0"/>
    <xf numFmtId="3" fontId="0" fillId="0" borderId="1" pivotButton="0" quotePrefix="0" xfId="0"/>
    <xf numFmtId="0" fontId="0" fillId="0" borderId="0" applyAlignment="1" pivotButton="0" quotePrefix="0" xfId="0">
      <alignment wrapText="1"/>
    </xf>
    <xf numFmtId="165" fontId="0" fillId="3" borderId="1" pivotButton="0" quotePrefix="0" xfId="0"/>
    <xf numFmtId="3" fontId="4" fillId="4" borderId="1" pivotButton="0" quotePrefix="0" xfId="0"/>
    <xf numFmtId="0" fontId="4" fillId="0" borderId="0" pivotButton="0" quotePrefix="0" xfId="0"/>
    <xf numFmtId="9"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5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2" customWidth="1" min="2" max="2"/>
    <col width="10" customWidth="1" min="3" max="3"/>
    <col width="13" customWidth="1" min="4" max="4"/>
    <col width="10" customWidth="1" min="5" max="5"/>
    <col width="12" customWidth="1" min="6" max="6"/>
    <col width="14" customWidth="1" min="7" max="7"/>
    <col width="14" customWidth="1" min="8" max="8"/>
    <col width="24" customWidth="1" min="9" max="9"/>
    <col width="16" customWidth="1" min="10" max="10"/>
    <col width="8" customWidth="1" min="11" max="11"/>
    <col width="11" customWidth="1" min="12" max="12"/>
    <col width="13" customWidth="1" min="13" max="13"/>
    <col width="12" customWidth="1" min="14" max="14"/>
    <col width="13" customWidth="1" min="15" max="15"/>
    <col width="13" customWidth="1" min="16" max="16"/>
    <col width="10" customWidth="1" min="17" max="17"/>
    <col width="10" customWidth="1" min="18" max="18"/>
    <col width="11" customWidth="1" min="19" max="19"/>
    <col width="30" customWidth="1" min="20" max="20"/>
  </cols>
  <sheetData>
    <row r="1">
      <c r="A1" s="1" t="inlineStr">
        <is>
          <t>RESERVATION REGISTER: holds, deposits and clash check</t>
        </is>
      </c>
    </row>
    <row r="2" ht="34" customHeight="1">
      <c r="A2" s="2" t="inlineStr">
        <is>
          <t>Rows 6 to 10 are sample bookings. Overwrite them. Statuses: Enquiry, Hold, Confirmed, Cancelled. Only Hold and Confirmed block a date. A Full day booking clashes with anything on that hall and date.</t>
        </is>
      </c>
    </row>
    <row r="5" ht="48" customHeight="1">
      <c r="A5" s="3" t="inlineStr">
        <is>
          <t>Booking ID</t>
        </is>
      </c>
      <c r="B5" s="3" t="inlineStr">
        <is>
          <t>Client</t>
        </is>
      </c>
      <c r="C5" s="3" t="inlineStr">
        <is>
          <t>Hall</t>
        </is>
      </c>
      <c r="D5" s="3" t="inlineStr">
        <is>
          <t>Event date</t>
        </is>
      </c>
      <c r="E5" s="3" t="inlineStr">
        <is>
          <t>Slot</t>
        </is>
      </c>
      <c r="F5" s="3" t="inlineStr">
        <is>
          <t>Status</t>
        </is>
      </c>
      <c r="G5" s="3" t="inlineStr">
        <is>
          <t>Hold placed</t>
        </is>
      </c>
      <c r="H5" s="3" t="inlineStr">
        <is>
          <t>Hold expires</t>
        </is>
      </c>
      <c r="I5" s="3" t="inlineStr">
        <is>
          <t>Hold check</t>
        </is>
      </c>
      <c r="J5" s="3" t="inlineStr">
        <is>
          <t>Package value (INR, before GST)</t>
        </is>
      </c>
      <c r="K5" s="3" t="inlineStr">
        <is>
          <t>GST rate</t>
        </is>
      </c>
      <c r="L5" s="3" t="inlineStr">
        <is>
          <t>GST amount</t>
        </is>
      </c>
      <c r="M5" s="3" t="inlineStr">
        <is>
          <t>Total incl. GST</t>
        </is>
      </c>
      <c r="N5" s="3" t="inlineStr">
        <is>
          <t>Advance due</t>
        </is>
      </c>
      <c r="O5" s="3" t="inlineStr">
        <is>
          <t>Advance received</t>
        </is>
      </c>
      <c r="P5" s="3" t="inlineStr">
        <is>
          <t>Balance to collect</t>
        </is>
      </c>
      <c r="Q5" s="3" t="inlineStr">
        <is>
          <t>Blocks date? (1/0)</t>
        </is>
      </c>
      <c r="R5" s="3" t="inlineStr">
        <is>
          <t>Clash check</t>
        </is>
      </c>
      <c r="S5" s="3" t="inlineStr">
        <is>
          <t>Advance shortfall</t>
        </is>
      </c>
      <c r="T5" s="3" t="inlineStr">
        <is>
          <t>Next action</t>
        </is>
      </c>
    </row>
    <row r="6">
      <c r="A6" s="4" t="inlineStr">
        <is>
          <t>B-001</t>
        </is>
      </c>
      <c r="B6" s="4" t="inlineStr">
        <is>
          <t>Sharma wedding</t>
        </is>
      </c>
      <c r="C6" s="4" t="inlineStr">
        <is>
          <t>Hall A</t>
        </is>
      </c>
      <c r="D6" s="5" t="n">
        <v>46431</v>
      </c>
      <c r="E6" s="4" t="inlineStr">
        <is>
          <t>Evening</t>
        </is>
      </c>
      <c r="F6" s="4" t="inlineStr">
        <is>
          <t>Confirmed</t>
        </is>
      </c>
      <c r="G6" s="6" t="n"/>
      <c r="H6" s="7">
        <f>IF(AND(F6="Hold",G6&lt;&gt;""),G6+Settings!$B$5/24,"")</f>
        <v/>
      </c>
      <c r="I6" s="8">
        <f>IF(F6&lt;&gt;"Hold","",IF(G6="","Add hold time",IF(Settings!$B$7&gt;H6,"EXPIRED: release the date","Active")))</f>
        <v/>
      </c>
      <c r="J6" s="9" t="n">
        <v>600000</v>
      </c>
      <c r="K6" s="10" t="n">
        <v>0.05</v>
      </c>
      <c r="L6" s="11">
        <f>IF(J6="","",ROUND(J6*K6,0))</f>
        <v/>
      </c>
      <c r="M6" s="11">
        <f>IF(J6="","",J6+L6)</f>
        <v/>
      </c>
      <c r="N6" s="11">
        <f>IF(M6="","",ROUND(M6*Settings!$B$6,0))</f>
        <v/>
      </c>
      <c r="O6" s="9" t="n">
        <v>189000</v>
      </c>
      <c r="P6" s="11">
        <f>IF(OR(M6="",F6="Cancelled"),"",M6-O6)</f>
        <v/>
      </c>
      <c r="Q6" s="8">
        <f>IF(OR(F6="Hold",F6="Confirmed"),1,0)</f>
        <v/>
      </c>
      <c r="R6" s="8">
        <f>IF(Q6=0,"",IF(IF(E6="Full day",COUNTIFS($C$6:$C$55,C6,$D$6:$D$55,D6,$Q$6:$Q$55,1)-1,COUNTIFS($C$6:$C$55,C6,$D$6:$D$55,D6,$Q$6:$Q$55,1,$E$6:$E$55,E6)-1+COUNTIFS($C$6:$C$55,C6,$D$6:$D$55,D6,$Q$6:$Q$55,1,$E$6:$E$55,"Full day"))&gt;0,"CLASH","OK"))</f>
        <v/>
      </c>
      <c r="S6" s="11">
        <f>IF(OR(F6&lt;&gt;"Confirmed",N6=""),"",MAX(0,N6-O6))</f>
        <v/>
      </c>
      <c r="T6" s="8">
        <f>IF(F6="","",IF(R6="CLASH","Resolve clash today",IF(LEFT(I6,7)="EXPIRED","Release date or chase token",IF(AND(F6="Confirmed",S6&gt;0),"Collect advance shortfall",IF(F6="Cancelled","Run the cancellation sheet","")))))</f>
        <v/>
      </c>
    </row>
    <row r="7">
      <c r="A7" s="4" t="inlineStr">
        <is>
          <t>B-002</t>
        </is>
      </c>
      <c r="B7" s="4" t="inlineStr">
        <is>
          <t>Gupta reception</t>
        </is>
      </c>
      <c r="C7" s="4" t="inlineStr">
        <is>
          <t>Hall A</t>
        </is>
      </c>
      <c r="D7" s="5" t="n">
        <v>46431</v>
      </c>
      <c r="E7" s="4" t="inlineStr">
        <is>
          <t>Evening</t>
        </is>
      </c>
      <c r="F7" s="4" t="inlineStr">
        <is>
          <t>Hold</t>
        </is>
      </c>
      <c r="G7" s="6" t="n">
        <v>46396.41666666666</v>
      </c>
      <c r="H7" s="7">
        <f>IF(AND(F7="Hold",G7&lt;&gt;""),G7+Settings!$B$5/24,"")</f>
        <v/>
      </c>
      <c r="I7" s="8">
        <f>IF(F7&lt;&gt;"Hold","",IF(G7="","Add hold time",IF(Settings!$B$7&gt;H7,"EXPIRED: release the date","Active")))</f>
        <v/>
      </c>
      <c r="J7" s="9" t="n">
        <v>550000</v>
      </c>
      <c r="K7" s="10" t="n">
        <v>0.05</v>
      </c>
      <c r="L7" s="11">
        <f>IF(J7="","",ROUND(J7*K7,0))</f>
        <v/>
      </c>
      <c r="M7" s="11">
        <f>IF(J7="","",J7+L7)</f>
        <v/>
      </c>
      <c r="N7" s="11">
        <f>IF(M7="","",ROUND(M7*Settings!$B$6,0))</f>
        <v/>
      </c>
      <c r="O7" s="9" t="n">
        <v>0</v>
      </c>
      <c r="P7" s="11">
        <f>IF(OR(M7="",F7="Cancelled"),"",M7-O7)</f>
        <v/>
      </c>
      <c r="Q7" s="8">
        <f>IF(OR(F7="Hold",F7="Confirmed"),1,0)</f>
        <v/>
      </c>
      <c r="R7" s="8">
        <f>IF(Q7=0,"",IF(IF(E7="Full day",COUNTIFS($C$6:$C$55,C7,$D$6:$D$55,D7,$Q$6:$Q$55,1)-1,COUNTIFS($C$6:$C$55,C7,$D$6:$D$55,D7,$Q$6:$Q$55,1,$E$6:$E$55,E7)-1+COUNTIFS($C$6:$C$55,C7,$D$6:$D$55,D7,$Q$6:$Q$55,1,$E$6:$E$55,"Full day"))&gt;0,"CLASH","OK"))</f>
        <v/>
      </c>
      <c r="S7" s="11">
        <f>IF(OR(F7&lt;&gt;"Confirmed",N7=""),"",MAX(0,N7-O7))</f>
        <v/>
      </c>
      <c r="T7" s="8">
        <f>IF(F7="","",IF(R7="CLASH","Resolve clash today",IF(LEFT(I7,7)="EXPIRED","Release date or chase token",IF(AND(F7="Confirmed",S7&gt;0),"Collect advance shortfall",IF(F7="Cancelled","Run the cancellation sheet","")))))</f>
        <v/>
      </c>
    </row>
    <row r="8">
      <c r="A8" s="4" t="inlineStr">
        <is>
          <t>B-003</t>
        </is>
      </c>
      <c r="B8" s="4" t="inlineStr">
        <is>
          <t>Mehta engagement</t>
        </is>
      </c>
      <c r="C8" s="4" t="inlineStr">
        <is>
          <t>Hall B</t>
        </is>
      </c>
      <c r="D8" s="5" t="n">
        <v>46432</v>
      </c>
      <c r="E8" s="4" t="inlineStr">
        <is>
          <t>Morning</t>
        </is>
      </c>
      <c r="F8" s="4" t="inlineStr">
        <is>
          <t>Hold</t>
        </is>
      </c>
      <c r="G8" s="6" t="n">
        <v>46394.375</v>
      </c>
      <c r="H8" s="7">
        <f>IF(AND(F8="Hold",G8&lt;&gt;""),G8+Settings!$B$5/24,"")</f>
        <v/>
      </c>
      <c r="I8" s="8">
        <f>IF(F8&lt;&gt;"Hold","",IF(G8="","Add hold time",IF(Settings!$B$7&gt;H8,"EXPIRED: release the date","Active")))</f>
        <v/>
      </c>
      <c r="J8" s="9" t="n">
        <v>250000</v>
      </c>
      <c r="K8" s="10" t="n">
        <v>0.05</v>
      </c>
      <c r="L8" s="11">
        <f>IF(J8="","",ROUND(J8*K8,0))</f>
        <v/>
      </c>
      <c r="M8" s="11">
        <f>IF(J8="","",J8+L8)</f>
        <v/>
      </c>
      <c r="N8" s="11">
        <f>IF(M8="","",ROUND(M8*Settings!$B$6,0))</f>
        <v/>
      </c>
      <c r="O8" s="9" t="n">
        <v>0</v>
      </c>
      <c r="P8" s="11">
        <f>IF(OR(M8="",F8="Cancelled"),"",M8-O8)</f>
        <v/>
      </c>
      <c r="Q8" s="8">
        <f>IF(OR(F8="Hold",F8="Confirmed"),1,0)</f>
        <v/>
      </c>
      <c r="R8" s="8">
        <f>IF(Q8=0,"",IF(IF(E8="Full day",COUNTIFS($C$6:$C$55,C8,$D$6:$D$55,D8,$Q$6:$Q$55,1)-1,COUNTIFS($C$6:$C$55,C8,$D$6:$D$55,D8,$Q$6:$Q$55,1,$E$6:$E$55,E8)-1+COUNTIFS($C$6:$C$55,C8,$D$6:$D$55,D8,$Q$6:$Q$55,1,$E$6:$E$55,"Full day"))&gt;0,"CLASH","OK"))</f>
        <v/>
      </c>
      <c r="S8" s="11">
        <f>IF(OR(F8&lt;&gt;"Confirmed",N8=""),"",MAX(0,N8-O8))</f>
        <v/>
      </c>
      <c r="T8" s="8">
        <f>IF(F8="","",IF(R8="CLASH","Resolve clash today",IF(LEFT(I8,7)="EXPIRED","Release date or chase token",IF(AND(F8="Confirmed",S8&gt;0),"Collect advance shortfall",IF(F8="Cancelled","Run the cancellation sheet","")))))</f>
        <v/>
      </c>
    </row>
    <row r="9">
      <c r="A9" s="4" t="inlineStr">
        <is>
          <t>B-004</t>
        </is>
      </c>
      <c r="B9" s="4" t="inlineStr">
        <is>
          <t>Corporate annual day</t>
        </is>
      </c>
      <c r="C9" s="4" t="inlineStr">
        <is>
          <t>Hall B</t>
        </is>
      </c>
      <c r="D9" s="5" t="n">
        <v>46433</v>
      </c>
      <c r="E9" s="4" t="inlineStr">
        <is>
          <t>Full day</t>
        </is>
      </c>
      <c r="F9" s="4" t="inlineStr">
        <is>
          <t>Confirmed</t>
        </is>
      </c>
      <c r="G9" s="6" t="n"/>
      <c r="H9" s="7">
        <f>IF(AND(F9="Hold",G9&lt;&gt;""),G9+Settings!$B$5/24,"")</f>
        <v/>
      </c>
      <c r="I9" s="8">
        <f>IF(F9&lt;&gt;"Hold","",IF(G9="","Add hold time",IF(Settings!$B$7&gt;H9,"EXPIRED: release the date","Active")))</f>
        <v/>
      </c>
      <c r="J9" s="9" t="n">
        <v>300000</v>
      </c>
      <c r="K9" s="10" t="n">
        <v>0.18</v>
      </c>
      <c r="L9" s="11">
        <f>IF(J9="","",ROUND(J9*K9,0))</f>
        <v/>
      </c>
      <c r="M9" s="11">
        <f>IF(J9="","",J9+L9)</f>
        <v/>
      </c>
      <c r="N9" s="11">
        <f>IF(M9="","",ROUND(M9*Settings!$B$6,0))</f>
        <v/>
      </c>
      <c r="O9" s="9" t="n">
        <v>100000</v>
      </c>
      <c r="P9" s="11">
        <f>IF(OR(M9="",F9="Cancelled"),"",M9-O9)</f>
        <v/>
      </c>
      <c r="Q9" s="8">
        <f>IF(OR(F9="Hold",F9="Confirmed"),1,0)</f>
        <v/>
      </c>
      <c r="R9" s="8">
        <f>IF(Q9=0,"",IF(IF(E9="Full day",COUNTIFS($C$6:$C$55,C9,$D$6:$D$55,D9,$Q$6:$Q$55,1)-1,COUNTIFS($C$6:$C$55,C9,$D$6:$D$55,D9,$Q$6:$Q$55,1,$E$6:$E$55,E9)-1+COUNTIFS($C$6:$C$55,C9,$D$6:$D$55,D9,$Q$6:$Q$55,1,$E$6:$E$55,"Full day"))&gt;0,"CLASH","OK"))</f>
        <v/>
      </c>
      <c r="S9" s="11">
        <f>IF(OR(F9&lt;&gt;"Confirmed",N9=""),"",MAX(0,N9-O9))</f>
        <v/>
      </c>
      <c r="T9" s="8">
        <f>IF(F9="","",IF(R9="CLASH","Resolve clash today",IF(LEFT(I9,7)="EXPIRED","Release date or chase token",IF(AND(F9="Confirmed",S9&gt;0),"Collect advance shortfall",IF(F9="Cancelled","Run the cancellation sheet","")))))</f>
        <v/>
      </c>
    </row>
    <row r="10">
      <c r="A10" s="4" t="inlineStr">
        <is>
          <t>B-005</t>
        </is>
      </c>
      <c r="B10" s="4" t="inlineStr">
        <is>
          <t>Rao birthday</t>
        </is>
      </c>
      <c r="C10" s="4" t="inlineStr">
        <is>
          <t>Lawn</t>
        </is>
      </c>
      <c r="D10" s="5" t="n">
        <v>46438</v>
      </c>
      <c r="E10" s="4" t="inlineStr">
        <is>
          <t>Evening</t>
        </is>
      </c>
      <c r="F10" s="4" t="inlineStr">
        <is>
          <t>Cancelled</t>
        </is>
      </c>
      <c r="G10" s="6" t="n"/>
      <c r="H10" s="7">
        <f>IF(AND(F10="Hold",G10&lt;&gt;""),G10+Settings!$B$5/24,"")</f>
        <v/>
      </c>
      <c r="I10" s="8">
        <f>IF(F10&lt;&gt;"Hold","",IF(G10="","Add hold time",IF(Settings!$B$7&gt;H10,"EXPIRED: release the date","Active")))</f>
        <v/>
      </c>
      <c r="J10" s="9" t="n">
        <v>180000</v>
      </c>
      <c r="K10" s="10" t="n">
        <v>0.05</v>
      </c>
      <c r="L10" s="11">
        <f>IF(J10="","",ROUND(J10*K10,0))</f>
        <v/>
      </c>
      <c r="M10" s="11">
        <f>IF(J10="","",J10+L10)</f>
        <v/>
      </c>
      <c r="N10" s="11">
        <f>IF(M10="","",ROUND(M10*Settings!$B$6,0))</f>
        <v/>
      </c>
      <c r="O10" s="9" t="n">
        <v>60000</v>
      </c>
      <c r="P10" s="11">
        <f>IF(OR(M10="",F10="Cancelled"),"",M10-O10)</f>
        <v/>
      </c>
      <c r="Q10" s="8">
        <f>IF(OR(F10="Hold",F10="Confirmed"),1,0)</f>
        <v/>
      </c>
      <c r="R10" s="8">
        <f>IF(Q10=0,"",IF(IF(E10="Full day",COUNTIFS($C$6:$C$55,C10,$D$6:$D$55,D10,$Q$6:$Q$55,1)-1,COUNTIFS($C$6:$C$55,C10,$D$6:$D$55,D10,$Q$6:$Q$55,1,$E$6:$E$55,E10)-1+COUNTIFS($C$6:$C$55,C10,$D$6:$D$55,D10,$Q$6:$Q$55,1,$E$6:$E$55,"Full day"))&gt;0,"CLASH","OK"))</f>
        <v/>
      </c>
      <c r="S10" s="11">
        <f>IF(OR(F10&lt;&gt;"Confirmed",N10=""),"",MAX(0,N10-O10))</f>
        <v/>
      </c>
      <c r="T10" s="8">
        <f>IF(F10="","",IF(R10="CLASH","Resolve clash today",IF(LEFT(I10,7)="EXPIRED","Release date or chase token",IF(AND(F10="Confirmed",S10&gt;0),"Collect advance shortfall",IF(F10="Cancelled","Run the cancellation sheet","")))))</f>
        <v/>
      </c>
    </row>
    <row r="11">
      <c r="A11" s="4" t="n"/>
      <c r="B11" s="4" t="n"/>
      <c r="C11" s="4" t="n"/>
      <c r="D11" s="5" t="n"/>
      <c r="E11" s="4" t="n"/>
      <c r="F11" s="4" t="n"/>
      <c r="G11" s="6" t="n"/>
      <c r="H11" s="7">
        <f>IF(AND(F11="Hold",G11&lt;&gt;""),G11+Settings!$B$5/24,"")</f>
        <v/>
      </c>
      <c r="I11" s="8">
        <f>IF(F11&lt;&gt;"Hold","",IF(G11="","Add hold time",IF(Settings!$B$7&gt;H11,"EXPIRED: release the date","Active")))</f>
        <v/>
      </c>
      <c r="J11" s="9" t="n"/>
      <c r="K11" s="10" t="n"/>
      <c r="L11" s="11">
        <f>IF(J11="","",ROUND(J11*K11,0))</f>
        <v/>
      </c>
      <c r="M11" s="11">
        <f>IF(J11="","",J11+L11)</f>
        <v/>
      </c>
      <c r="N11" s="11">
        <f>IF(M11="","",ROUND(M11*Settings!$B$6,0))</f>
        <v/>
      </c>
      <c r="O11" s="9" t="n"/>
      <c r="P11" s="11">
        <f>IF(OR(M11="",F11="Cancelled"),"",M11-O11)</f>
        <v/>
      </c>
      <c r="Q11" s="8">
        <f>IF(OR(F11="Hold",F11="Confirmed"),1,0)</f>
        <v/>
      </c>
      <c r="R11" s="8">
        <f>IF(Q11=0,"",IF(IF(E11="Full day",COUNTIFS($C$6:$C$55,C11,$D$6:$D$55,D11,$Q$6:$Q$55,1)-1,COUNTIFS($C$6:$C$55,C11,$D$6:$D$55,D11,$Q$6:$Q$55,1,$E$6:$E$55,E11)-1+COUNTIFS($C$6:$C$55,C11,$D$6:$D$55,D11,$Q$6:$Q$55,1,$E$6:$E$55,"Full day"))&gt;0,"CLASH","OK"))</f>
        <v/>
      </c>
      <c r="S11" s="11">
        <f>IF(OR(F11&lt;&gt;"Confirmed",N11=""),"",MAX(0,N11-O11))</f>
        <v/>
      </c>
      <c r="T11" s="8">
        <f>IF(F11="","",IF(R11="CLASH","Resolve clash today",IF(LEFT(I11,7)="EXPIRED","Release date or chase token",IF(AND(F11="Confirmed",S11&gt;0),"Collect advance shortfall",IF(F11="Cancelled","Run the cancellation sheet","")))))</f>
        <v/>
      </c>
    </row>
    <row r="12">
      <c r="A12" s="4" t="n"/>
      <c r="B12" s="4" t="n"/>
      <c r="C12" s="4" t="n"/>
      <c r="D12" s="5" t="n"/>
      <c r="E12" s="4" t="n"/>
      <c r="F12" s="4" t="n"/>
      <c r="G12" s="6" t="n"/>
      <c r="H12" s="7">
        <f>IF(AND(F12="Hold",G12&lt;&gt;""),G12+Settings!$B$5/24,"")</f>
        <v/>
      </c>
      <c r="I12" s="8">
        <f>IF(F12&lt;&gt;"Hold","",IF(G12="","Add hold time",IF(Settings!$B$7&gt;H12,"EXPIRED: release the date","Active")))</f>
        <v/>
      </c>
      <c r="J12" s="9" t="n"/>
      <c r="K12" s="10" t="n"/>
      <c r="L12" s="11">
        <f>IF(J12="","",ROUND(J12*K12,0))</f>
        <v/>
      </c>
      <c r="M12" s="11">
        <f>IF(J12="","",J12+L12)</f>
        <v/>
      </c>
      <c r="N12" s="11">
        <f>IF(M12="","",ROUND(M12*Settings!$B$6,0))</f>
        <v/>
      </c>
      <c r="O12" s="9" t="n"/>
      <c r="P12" s="11">
        <f>IF(OR(M12="",F12="Cancelled"),"",M12-O12)</f>
        <v/>
      </c>
      <c r="Q12" s="8">
        <f>IF(OR(F12="Hold",F12="Confirmed"),1,0)</f>
        <v/>
      </c>
      <c r="R12" s="8">
        <f>IF(Q12=0,"",IF(IF(E12="Full day",COUNTIFS($C$6:$C$55,C12,$D$6:$D$55,D12,$Q$6:$Q$55,1)-1,COUNTIFS($C$6:$C$55,C12,$D$6:$D$55,D12,$Q$6:$Q$55,1,$E$6:$E$55,E12)-1+COUNTIFS($C$6:$C$55,C12,$D$6:$D$55,D12,$Q$6:$Q$55,1,$E$6:$E$55,"Full day"))&gt;0,"CLASH","OK"))</f>
        <v/>
      </c>
      <c r="S12" s="11">
        <f>IF(OR(F12&lt;&gt;"Confirmed",N12=""),"",MAX(0,N12-O12))</f>
        <v/>
      </c>
      <c r="T12" s="8">
        <f>IF(F12="","",IF(R12="CLASH","Resolve clash today",IF(LEFT(I12,7)="EXPIRED","Release date or chase token",IF(AND(F12="Confirmed",S12&gt;0),"Collect advance shortfall",IF(F12="Cancelled","Run the cancellation sheet","")))))</f>
        <v/>
      </c>
    </row>
    <row r="13">
      <c r="A13" s="4" t="n"/>
      <c r="B13" s="4" t="n"/>
      <c r="C13" s="4" t="n"/>
      <c r="D13" s="5" t="n"/>
      <c r="E13" s="4" t="n"/>
      <c r="F13" s="4" t="n"/>
      <c r="G13" s="6" t="n"/>
      <c r="H13" s="7">
        <f>IF(AND(F13="Hold",G13&lt;&gt;""),G13+Settings!$B$5/24,"")</f>
        <v/>
      </c>
      <c r="I13" s="8">
        <f>IF(F13&lt;&gt;"Hold","",IF(G13="","Add hold time",IF(Settings!$B$7&gt;H13,"EXPIRED: release the date","Active")))</f>
        <v/>
      </c>
      <c r="J13" s="9" t="n"/>
      <c r="K13" s="10" t="n"/>
      <c r="L13" s="11">
        <f>IF(J13="","",ROUND(J13*K13,0))</f>
        <v/>
      </c>
      <c r="M13" s="11">
        <f>IF(J13="","",J13+L13)</f>
        <v/>
      </c>
      <c r="N13" s="11">
        <f>IF(M13="","",ROUND(M13*Settings!$B$6,0))</f>
        <v/>
      </c>
      <c r="O13" s="9" t="n"/>
      <c r="P13" s="11">
        <f>IF(OR(M13="",F13="Cancelled"),"",M13-O13)</f>
        <v/>
      </c>
      <c r="Q13" s="8">
        <f>IF(OR(F13="Hold",F13="Confirmed"),1,0)</f>
        <v/>
      </c>
      <c r="R13" s="8">
        <f>IF(Q13=0,"",IF(IF(E13="Full day",COUNTIFS($C$6:$C$55,C13,$D$6:$D$55,D13,$Q$6:$Q$55,1)-1,COUNTIFS($C$6:$C$55,C13,$D$6:$D$55,D13,$Q$6:$Q$55,1,$E$6:$E$55,E13)-1+COUNTIFS($C$6:$C$55,C13,$D$6:$D$55,D13,$Q$6:$Q$55,1,$E$6:$E$55,"Full day"))&gt;0,"CLASH","OK"))</f>
        <v/>
      </c>
      <c r="S13" s="11">
        <f>IF(OR(F13&lt;&gt;"Confirmed",N13=""),"",MAX(0,N13-O13))</f>
        <v/>
      </c>
      <c r="T13" s="8">
        <f>IF(F13="","",IF(R13="CLASH","Resolve clash today",IF(LEFT(I13,7)="EXPIRED","Release date or chase token",IF(AND(F13="Confirmed",S13&gt;0),"Collect advance shortfall",IF(F13="Cancelled","Run the cancellation sheet","")))))</f>
        <v/>
      </c>
    </row>
    <row r="14">
      <c r="A14" s="4" t="n"/>
      <c r="B14" s="4" t="n"/>
      <c r="C14" s="4" t="n"/>
      <c r="D14" s="5" t="n"/>
      <c r="E14" s="4" t="n"/>
      <c r="F14" s="4" t="n"/>
      <c r="G14" s="6" t="n"/>
      <c r="H14" s="7">
        <f>IF(AND(F14="Hold",G14&lt;&gt;""),G14+Settings!$B$5/24,"")</f>
        <v/>
      </c>
      <c r="I14" s="8">
        <f>IF(F14&lt;&gt;"Hold","",IF(G14="","Add hold time",IF(Settings!$B$7&gt;H14,"EXPIRED: release the date","Active")))</f>
        <v/>
      </c>
      <c r="J14" s="9" t="n"/>
      <c r="K14" s="10" t="n"/>
      <c r="L14" s="11">
        <f>IF(J14="","",ROUND(J14*K14,0))</f>
        <v/>
      </c>
      <c r="M14" s="11">
        <f>IF(J14="","",J14+L14)</f>
        <v/>
      </c>
      <c r="N14" s="11">
        <f>IF(M14="","",ROUND(M14*Settings!$B$6,0))</f>
        <v/>
      </c>
      <c r="O14" s="9" t="n"/>
      <c r="P14" s="11">
        <f>IF(OR(M14="",F14="Cancelled"),"",M14-O14)</f>
        <v/>
      </c>
      <c r="Q14" s="8">
        <f>IF(OR(F14="Hold",F14="Confirmed"),1,0)</f>
        <v/>
      </c>
      <c r="R14" s="8">
        <f>IF(Q14=0,"",IF(IF(E14="Full day",COUNTIFS($C$6:$C$55,C14,$D$6:$D$55,D14,$Q$6:$Q$55,1)-1,COUNTIFS($C$6:$C$55,C14,$D$6:$D$55,D14,$Q$6:$Q$55,1,$E$6:$E$55,E14)-1+COUNTIFS($C$6:$C$55,C14,$D$6:$D$55,D14,$Q$6:$Q$55,1,$E$6:$E$55,"Full day"))&gt;0,"CLASH","OK"))</f>
        <v/>
      </c>
      <c r="S14" s="11">
        <f>IF(OR(F14&lt;&gt;"Confirmed",N14=""),"",MAX(0,N14-O14))</f>
        <v/>
      </c>
      <c r="T14" s="8">
        <f>IF(F14="","",IF(R14="CLASH","Resolve clash today",IF(LEFT(I14,7)="EXPIRED","Release date or chase token",IF(AND(F14="Confirmed",S14&gt;0),"Collect advance shortfall",IF(F14="Cancelled","Run the cancellation sheet","")))))</f>
        <v/>
      </c>
    </row>
    <row r="15">
      <c r="A15" s="4" t="n"/>
      <c r="B15" s="4" t="n"/>
      <c r="C15" s="4" t="n"/>
      <c r="D15" s="5" t="n"/>
      <c r="E15" s="4" t="n"/>
      <c r="F15" s="4" t="n"/>
      <c r="G15" s="6" t="n"/>
      <c r="H15" s="7">
        <f>IF(AND(F15="Hold",G15&lt;&gt;""),G15+Settings!$B$5/24,"")</f>
        <v/>
      </c>
      <c r="I15" s="8">
        <f>IF(F15&lt;&gt;"Hold","",IF(G15="","Add hold time",IF(Settings!$B$7&gt;H15,"EXPIRED: release the date","Active")))</f>
        <v/>
      </c>
      <c r="J15" s="9" t="n"/>
      <c r="K15" s="10" t="n"/>
      <c r="L15" s="11">
        <f>IF(J15="","",ROUND(J15*K15,0))</f>
        <v/>
      </c>
      <c r="M15" s="11">
        <f>IF(J15="","",J15+L15)</f>
        <v/>
      </c>
      <c r="N15" s="11">
        <f>IF(M15="","",ROUND(M15*Settings!$B$6,0))</f>
        <v/>
      </c>
      <c r="O15" s="9" t="n"/>
      <c r="P15" s="11">
        <f>IF(OR(M15="",F15="Cancelled"),"",M15-O15)</f>
        <v/>
      </c>
      <c r="Q15" s="8">
        <f>IF(OR(F15="Hold",F15="Confirmed"),1,0)</f>
        <v/>
      </c>
      <c r="R15" s="8">
        <f>IF(Q15=0,"",IF(IF(E15="Full day",COUNTIFS($C$6:$C$55,C15,$D$6:$D$55,D15,$Q$6:$Q$55,1)-1,COUNTIFS($C$6:$C$55,C15,$D$6:$D$55,D15,$Q$6:$Q$55,1,$E$6:$E$55,E15)-1+COUNTIFS($C$6:$C$55,C15,$D$6:$D$55,D15,$Q$6:$Q$55,1,$E$6:$E$55,"Full day"))&gt;0,"CLASH","OK"))</f>
        <v/>
      </c>
      <c r="S15" s="11">
        <f>IF(OR(F15&lt;&gt;"Confirmed",N15=""),"",MAX(0,N15-O15))</f>
        <v/>
      </c>
      <c r="T15" s="8">
        <f>IF(F15="","",IF(R15="CLASH","Resolve clash today",IF(LEFT(I15,7)="EXPIRED","Release date or chase token",IF(AND(F15="Confirmed",S15&gt;0),"Collect advance shortfall",IF(F15="Cancelled","Run the cancellation sheet","")))))</f>
        <v/>
      </c>
    </row>
    <row r="16">
      <c r="A16" s="4" t="n"/>
      <c r="B16" s="4" t="n"/>
      <c r="C16" s="4" t="n"/>
      <c r="D16" s="5" t="n"/>
      <c r="E16" s="4" t="n"/>
      <c r="F16" s="4" t="n"/>
      <c r="G16" s="6" t="n"/>
      <c r="H16" s="7">
        <f>IF(AND(F16="Hold",G16&lt;&gt;""),G16+Settings!$B$5/24,"")</f>
        <v/>
      </c>
      <c r="I16" s="8">
        <f>IF(F16&lt;&gt;"Hold","",IF(G16="","Add hold time",IF(Settings!$B$7&gt;H16,"EXPIRED: release the date","Active")))</f>
        <v/>
      </c>
      <c r="J16" s="9" t="n"/>
      <c r="K16" s="10" t="n"/>
      <c r="L16" s="11">
        <f>IF(J16="","",ROUND(J16*K16,0))</f>
        <v/>
      </c>
      <c r="M16" s="11">
        <f>IF(J16="","",J16+L16)</f>
        <v/>
      </c>
      <c r="N16" s="11">
        <f>IF(M16="","",ROUND(M16*Settings!$B$6,0))</f>
        <v/>
      </c>
      <c r="O16" s="9" t="n"/>
      <c r="P16" s="11">
        <f>IF(OR(M16="",F16="Cancelled"),"",M16-O16)</f>
        <v/>
      </c>
      <c r="Q16" s="8">
        <f>IF(OR(F16="Hold",F16="Confirmed"),1,0)</f>
        <v/>
      </c>
      <c r="R16" s="8">
        <f>IF(Q16=0,"",IF(IF(E16="Full day",COUNTIFS($C$6:$C$55,C16,$D$6:$D$55,D16,$Q$6:$Q$55,1)-1,COUNTIFS($C$6:$C$55,C16,$D$6:$D$55,D16,$Q$6:$Q$55,1,$E$6:$E$55,E16)-1+COUNTIFS($C$6:$C$55,C16,$D$6:$D$55,D16,$Q$6:$Q$55,1,$E$6:$E$55,"Full day"))&gt;0,"CLASH","OK"))</f>
        <v/>
      </c>
      <c r="S16" s="11">
        <f>IF(OR(F16&lt;&gt;"Confirmed",N16=""),"",MAX(0,N16-O16))</f>
        <v/>
      </c>
      <c r="T16" s="8">
        <f>IF(F16="","",IF(R16="CLASH","Resolve clash today",IF(LEFT(I16,7)="EXPIRED","Release date or chase token",IF(AND(F16="Confirmed",S16&gt;0),"Collect advance shortfall",IF(F16="Cancelled","Run the cancellation sheet","")))))</f>
        <v/>
      </c>
    </row>
    <row r="17">
      <c r="A17" s="4" t="n"/>
      <c r="B17" s="4" t="n"/>
      <c r="C17" s="4" t="n"/>
      <c r="D17" s="5" t="n"/>
      <c r="E17" s="4" t="n"/>
      <c r="F17" s="4" t="n"/>
      <c r="G17" s="6" t="n"/>
      <c r="H17" s="7">
        <f>IF(AND(F17="Hold",G17&lt;&gt;""),G17+Settings!$B$5/24,"")</f>
        <v/>
      </c>
      <c r="I17" s="8">
        <f>IF(F17&lt;&gt;"Hold","",IF(G17="","Add hold time",IF(Settings!$B$7&gt;H17,"EXPIRED: release the date","Active")))</f>
        <v/>
      </c>
      <c r="J17" s="9" t="n"/>
      <c r="K17" s="10" t="n"/>
      <c r="L17" s="11">
        <f>IF(J17="","",ROUND(J17*K17,0))</f>
        <v/>
      </c>
      <c r="M17" s="11">
        <f>IF(J17="","",J17+L17)</f>
        <v/>
      </c>
      <c r="N17" s="11">
        <f>IF(M17="","",ROUND(M17*Settings!$B$6,0))</f>
        <v/>
      </c>
      <c r="O17" s="9" t="n"/>
      <c r="P17" s="11">
        <f>IF(OR(M17="",F17="Cancelled"),"",M17-O17)</f>
        <v/>
      </c>
      <c r="Q17" s="8">
        <f>IF(OR(F17="Hold",F17="Confirmed"),1,0)</f>
        <v/>
      </c>
      <c r="R17" s="8">
        <f>IF(Q17=0,"",IF(IF(E17="Full day",COUNTIFS($C$6:$C$55,C17,$D$6:$D$55,D17,$Q$6:$Q$55,1)-1,COUNTIFS($C$6:$C$55,C17,$D$6:$D$55,D17,$Q$6:$Q$55,1,$E$6:$E$55,E17)-1+COUNTIFS($C$6:$C$55,C17,$D$6:$D$55,D17,$Q$6:$Q$55,1,$E$6:$E$55,"Full day"))&gt;0,"CLASH","OK"))</f>
        <v/>
      </c>
      <c r="S17" s="11">
        <f>IF(OR(F17&lt;&gt;"Confirmed",N17=""),"",MAX(0,N17-O17))</f>
        <v/>
      </c>
      <c r="T17" s="8">
        <f>IF(F17="","",IF(R17="CLASH","Resolve clash today",IF(LEFT(I17,7)="EXPIRED","Release date or chase token",IF(AND(F17="Confirmed",S17&gt;0),"Collect advance shortfall",IF(F17="Cancelled","Run the cancellation sheet","")))))</f>
        <v/>
      </c>
    </row>
    <row r="18">
      <c r="A18" s="4" t="n"/>
      <c r="B18" s="4" t="n"/>
      <c r="C18" s="4" t="n"/>
      <c r="D18" s="5" t="n"/>
      <c r="E18" s="4" t="n"/>
      <c r="F18" s="4" t="n"/>
      <c r="G18" s="6" t="n"/>
      <c r="H18" s="7">
        <f>IF(AND(F18="Hold",G18&lt;&gt;""),G18+Settings!$B$5/24,"")</f>
        <v/>
      </c>
      <c r="I18" s="8">
        <f>IF(F18&lt;&gt;"Hold","",IF(G18="","Add hold time",IF(Settings!$B$7&gt;H18,"EXPIRED: release the date","Active")))</f>
        <v/>
      </c>
      <c r="J18" s="9" t="n"/>
      <c r="K18" s="10" t="n"/>
      <c r="L18" s="11">
        <f>IF(J18="","",ROUND(J18*K18,0))</f>
        <v/>
      </c>
      <c r="M18" s="11">
        <f>IF(J18="","",J18+L18)</f>
        <v/>
      </c>
      <c r="N18" s="11">
        <f>IF(M18="","",ROUND(M18*Settings!$B$6,0))</f>
        <v/>
      </c>
      <c r="O18" s="9" t="n"/>
      <c r="P18" s="11">
        <f>IF(OR(M18="",F18="Cancelled"),"",M18-O18)</f>
        <v/>
      </c>
      <c r="Q18" s="8">
        <f>IF(OR(F18="Hold",F18="Confirmed"),1,0)</f>
        <v/>
      </c>
      <c r="R18" s="8">
        <f>IF(Q18=0,"",IF(IF(E18="Full day",COUNTIFS($C$6:$C$55,C18,$D$6:$D$55,D18,$Q$6:$Q$55,1)-1,COUNTIFS($C$6:$C$55,C18,$D$6:$D$55,D18,$Q$6:$Q$55,1,$E$6:$E$55,E18)-1+COUNTIFS($C$6:$C$55,C18,$D$6:$D$55,D18,$Q$6:$Q$55,1,$E$6:$E$55,"Full day"))&gt;0,"CLASH","OK"))</f>
        <v/>
      </c>
      <c r="S18" s="11">
        <f>IF(OR(F18&lt;&gt;"Confirmed",N18=""),"",MAX(0,N18-O18))</f>
        <v/>
      </c>
      <c r="T18" s="8">
        <f>IF(F18="","",IF(R18="CLASH","Resolve clash today",IF(LEFT(I18,7)="EXPIRED","Release date or chase token",IF(AND(F18="Confirmed",S18&gt;0),"Collect advance shortfall",IF(F18="Cancelled","Run the cancellation sheet","")))))</f>
        <v/>
      </c>
    </row>
    <row r="19">
      <c r="A19" s="4" t="n"/>
      <c r="B19" s="4" t="n"/>
      <c r="C19" s="4" t="n"/>
      <c r="D19" s="5" t="n"/>
      <c r="E19" s="4" t="n"/>
      <c r="F19" s="4" t="n"/>
      <c r="G19" s="6" t="n"/>
      <c r="H19" s="7">
        <f>IF(AND(F19="Hold",G19&lt;&gt;""),G19+Settings!$B$5/24,"")</f>
        <v/>
      </c>
      <c r="I19" s="8">
        <f>IF(F19&lt;&gt;"Hold","",IF(G19="","Add hold time",IF(Settings!$B$7&gt;H19,"EXPIRED: release the date","Active")))</f>
        <v/>
      </c>
      <c r="J19" s="9" t="n"/>
      <c r="K19" s="10" t="n"/>
      <c r="L19" s="11">
        <f>IF(J19="","",ROUND(J19*K19,0))</f>
        <v/>
      </c>
      <c r="M19" s="11">
        <f>IF(J19="","",J19+L19)</f>
        <v/>
      </c>
      <c r="N19" s="11">
        <f>IF(M19="","",ROUND(M19*Settings!$B$6,0))</f>
        <v/>
      </c>
      <c r="O19" s="9" t="n"/>
      <c r="P19" s="11">
        <f>IF(OR(M19="",F19="Cancelled"),"",M19-O19)</f>
        <v/>
      </c>
      <c r="Q19" s="8">
        <f>IF(OR(F19="Hold",F19="Confirmed"),1,0)</f>
        <v/>
      </c>
      <c r="R19" s="8">
        <f>IF(Q19=0,"",IF(IF(E19="Full day",COUNTIFS($C$6:$C$55,C19,$D$6:$D$55,D19,$Q$6:$Q$55,1)-1,COUNTIFS($C$6:$C$55,C19,$D$6:$D$55,D19,$Q$6:$Q$55,1,$E$6:$E$55,E19)-1+COUNTIFS($C$6:$C$55,C19,$D$6:$D$55,D19,$Q$6:$Q$55,1,$E$6:$E$55,"Full day"))&gt;0,"CLASH","OK"))</f>
        <v/>
      </c>
      <c r="S19" s="11">
        <f>IF(OR(F19&lt;&gt;"Confirmed",N19=""),"",MAX(0,N19-O19))</f>
        <v/>
      </c>
      <c r="T19" s="8">
        <f>IF(F19="","",IF(R19="CLASH","Resolve clash today",IF(LEFT(I19,7)="EXPIRED","Release date or chase token",IF(AND(F19="Confirmed",S19&gt;0),"Collect advance shortfall",IF(F19="Cancelled","Run the cancellation sheet","")))))</f>
        <v/>
      </c>
    </row>
    <row r="20">
      <c r="A20" s="4" t="n"/>
      <c r="B20" s="4" t="n"/>
      <c r="C20" s="4" t="n"/>
      <c r="D20" s="5" t="n"/>
      <c r="E20" s="4" t="n"/>
      <c r="F20" s="4" t="n"/>
      <c r="G20" s="6" t="n"/>
      <c r="H20" s="7">
        <f>IF(AND(F20="Hold",G20&lt;&gt;""),G20+Settings!$B$5/24,"")</f>
        <v/>
      </c>
      <c r="I20" s="8">
        <f>IF(F20&lt;&gt;"Hold","",IF(G20="","Add hold time",IF(Settings!$B$7&gt;H20,"EXPIRED: release the date","Active")))</f>
        <v/>
      </c>
      <c r="J20" s="9" t="n"/>
      <c r="K20" s="10" t="n"/>
      <c r="L20" s="11">
        <f>IF(J20="","",ROUND(J20*K20,0))</f>
        <v/>
      </c>
      <c r="M20" s="11">
        <f>IF(J20="","",J20+L20)</f>
        <v/>
      </c>
      <c r="N20" s="11">
        <f>IF(M20="","",ROUND(M20*Settings!$B$6,0))</f>
        <v/>
      </c>
      <c r="O20" s="9" t="n"/>
      <c r="P20" s="11">
        <f>IF(OR(M20="",F20="Cancelled"),"",M20-O20)</f>
        <v/>
      </c>
      <c r="Q20" s="8">
        <f>IF(OR(F20="Hold",F20="Confirmed"),1,0)</f>
        <v/>
      </c>
      <c r="R20" s="8">
        <f>IF(Q20=0,"",IF(IF(E20="Full day",COUNTIFS($C$6:$C$55,C20,$D$6:$D$55,D20,$Q$6:$Q$55,1)-1,COUNTIFS($C$6:$C$55,C20,$D$6:$D$55,D20,$Q$6:$Q$55,1,$E$6:$E$55,E20)-1+COUNTIFS($C$6:$C$55,C20,$D$6:$D$55,D20,$Q$6:$Q$55,1,$E$6:$E$55,"Full day"))&gt;0,"CLASH","OK"))</f>
        <v/>
      </c>
      <c r="S20" s="11">
        <f>IF(OR(F20&lt;&gt;"Confirmed",N20=""),"",MAX(0,N20-O20))</f>
        <v/>
      </c>
      <c r="T20" s="8">
        <f>IF(F20="","",IF(R20="CLASH","Resolve clash today",IF(LEFT(I20,7)="EXPIRED","Release date or chase token",IF(AND(F20="Confirmed",S20&gt;0),"Collect advance shortfall",IF(F20="Cancelled","Run the cancellation sheet","")))))</f>
        <v/>
      </c>
    </row>
    <row r="21">
      <c r="A21" s="4" t="n"/>
      <c r="B21" s="4" t="n"/>
      <c r="C21" s="4" t="n"/>
      <c r="D21" s="5" t="n"/>
      <c r="E21" s="4" t="n"/>
      <c r="F21" s="4" t="n"/>
      <c r="G21" s="6" t="n"/>
      <c r="H21" s="7">
        <f>IF(AND(F21="Hold",G21&lt;&gt;""),G21+Settings!$B$5/24,"")</f>
        <v/>
      </c>
      <c r="I21" s="8">
        <f>IF(F21&lt;&gt;"Hold","",IF(G21="","Add hold time",IF(Settings!$B$7&gt;H21,"EXPIRED: release the date","Active")))</f>
        <v/>
      </c>
      <c r="J21" s="9" t="n"/>
      <c r="K21" s="10" t="n"/>
      <c r="L21" s="11">
        <f>IF(J21="","",ROUND(J21*K21,0))</f>
        <v/>
      </c>
      <c r="M21" s="11">
        <f>IF(J21="","",J21+L21)</f>
        <v/>
      </c>
      <c r="N21" s="11">
        <f>IF(M21="","",ROUND(M21*Settings!$B$6,0))</f>
        <v/>
      </c>
      <c r="O21" s="9" t="n"/>
      <c r="P21" s="11">
        <f>IF(OR(M21="",F21="Cancelled"),"",M21-O21)</f>
        <v/>
      </c>
      <c r="Q21" s="8">
        <f>IF(OR(F21="Hold",F21="Confirmed"),1,0)</f>
        <v/>
      </c>
      <c r="R21" s="8">
        <f>IF(Q21=0,"",IF(IF(E21="Full day",COUNTIFS($C$6:$C$55,C21,$D$6:$D$55,D21,$Q$6:$Q$55,1)-1,COUNTIFS($C$6:$C$55,C21,$D$6:$D$55,D21,$Q$6:$Q$55,1,$E$6:$E$55,E21)-1+COUNTIFS($C$6:$C$55,C21,$D$6:$D$55,D21,$Q$6:$Q$55,1,$E$6:$E$55,"Full day"))&gt;0,"CLASH","OK"))</f>
        <v/>
      </c>
      <c r="S21" s="11">
        <f>IF(OR(F21&lt;&gt;"Confirmed",N21=""),"",MAX(0,N21-O21))</f>
        <v/>
      </c>
      <c r="T21" s="8">
        <f>IF(F21="","",IF(R21="CLASH","Resolve clash today",IF(LEFT(I21,7)="EXPIRED","Release date or chase token",IF(AND(F21="Confirmed",S21&gt;0),"Collect advance shortfall",IF(F21="Cancelled","Run the cancellation sheet","")))))</f>
        <v/>
      </c>
    </row>
    <row r="22">
      <c r="A22" s="4" t="n"/>
      <c r="B22" s="4" t="n"/>
      <c r="C22" s="4" t="n"/>
      <c r="D22" s="5" t="n"/>
      <c r="E22" s="4" t="n"/>
      <c r="F22" s="4" t="n"/>
      <c r="G22" s="6" t="n"/>
      <c r="H22" s="7">
        <f>IF(AND(F22="Hold",G22&lt;&gt;""),G22+Settings!$B$5/24,"")</f>
        <v/>
      </c>
      <c r="I22" s="8">
        <f>IF(F22&lt;&gt;"Hold","",IF(G22="","Add hold time",IF(Settings!$B$7&gt;H22,"EXPIRED: release the date","Active")))</f>
        <v/>
      </c>
      <c r="J22" s="9" t="n"/>
      <c r="K22" s="10" t="n"/>
      <c r="L22" s="11">
        <f>IF(J22="","",ROUND(J22*K22,0))</f>
        <v/>
      </c>
      <c r="M22" s="11">
        <f>IF(J22="","",J22+L22)</f>
        <v/>
      </c>
      <c r="N22" s="11">
        <f>IF(M22="","",ROUND(M22*Settings!$B$6,0))</f>
        <v/>
      </c>
      <c r="O22" s="9" t="n"/>
      <c r="P22" s="11">
        <f>IF(OR(M22="",F22="Cancelled"),"",M22-O22)</f>
        <v/>
      </c>
      <c r="Q22" s="8">
        <f>IF(OR(F22="Hold",F22="Confirmed"),1,0)</f>
        <v/>
      </c>
      <c r="R22" s="8">
        <f>IF(Q22=0,"",IF(IF(E22="Full day",COUNTIFS($C$6:$C$55,C22,$D$6:$D$55,D22,$Q$6:$Q$55,1)-1,COUNTIFS($C$6:$C$55,C22,$D$6:$D$55,D22,$Q$6:$Q$55,1,$E$6:$E$55,E22)-1+COUNTIFS($C$6:$C$55,C22,$D$6:$D$55,D22,$Q$6:$Q$55,1,$E$6:$E$55,"Full day"))&gt;0,"CLASH","OK"))</f>
        <v/>
      </c>
      <c r="S22" s="11">
        <f>IF(OR(F22&lt;&gt;"Confirmed",N22=""),"",MAX(0,N22-O22))</f>
        <v/>
      </c>
      <c r="T22" s="8">
        <f>IF(F22="","",IF(R22="CLASH","Resolve clash today",IF(LEFT(I22,7)="EXPIRED","Release date or chase token",IF(AND(F22="Confirmed",S22&gt;0),"Collect advance shortfall",IF(F22="Cancelled","Run the cancellation sheet","")))))</f>
        <v/>
      </c>
    </row>
    <row r="23">
      <c r="A23" s="4" t="n"/>
      <c r="B23" s="4" t="n"/>
      <c r="C23" s="4" t="n"/>
      <c r="D23" s="5" t="n"/>
      <c r="E23" s="4" t="n"/>
      <c r="F23" s="4" t="n"/>
      <c r="G23" s="6" t="n"/>
      <c r="H23" s="7">
        <f>IF(AND(F23="Hold",G23&lt;&gt;""),G23+Settings!$B$5/24,"")</f>
        <v/>
      </c>
      <c r="I23" s="8">
        <f>IF(F23&lt;&gt;"Hold","",IF(G23="","Add hold time",IF(Settings!$B$7&gt;H23,"EXPIRED: release the date","Active")))</f>
        <v/>
      </c>
      <c r="J23" s="9" t="n"/>
      <c r="K23" s="10" t="n"/>
      <c r="L23" s="11">
        <f>IF(J23="","",ROUND(J23*K23,0))</f>
        <v/>
      </c>
      <c r="M23" s="11">
        <f>IF(J23="","",J23+L23)</f>
        <v/>
      </c>
      <c r="N23" s="11">
        <f>IF(M23="","",ROUND(M23*Settings!$B$6,0))</f>
        <v/>
      </c>
      <c r="O23" s="9" t="n"/>
      <c r="P23" s="11">
        <f>IF(OR(M23="",F23="Cancelled"),"",M23-O23)</f>
        <v/>
      </c>
      <c r="Q23" s="8">
        <f>IF(OR(F23="Hold",F23="Confirmed"),1,0)</f>
        <v/>
      </c>
      <c r="R23" s="8">
        <f>IF(Q23=0,"",IF(IF(E23="Full day",COUNTIFS($C$6:$C$55,C23,$D$6:$D$55,D23,$Q$6:$Q$55,1)-1,COUNTIFS($C$6:$C$55,C23,$D$6:$D$55,D23,$Q$6:$Q$55,1,$E$6:$E$55,E23)-1+COUNTIFS($C$6:$C$55,C23,$D$6:$D$55,D23,$Q$6:$Q$55,1,$E$6:$E$55,"Full day"))&gt;0,"CLASH","OK"))</f>
        <v/>
      </c>
      <c r="S23" s="11">
        <f>IF(OR(F23&lt;&gt;"Confirmed",N23=""),"",MAX(0,N23-O23))</f>
        <v/>
      </c>
      <c r="T23" s="8">
        <f>IF(F23="","",IF(R23="CLASH","Resolve clash today",IF(LEFT(I23,7)="EXPIRED","Release date or chase token",IF(AND(F23="Confirmed",S23&gt;0),"Collect advance shortfall",IF(F23="Cancelled","Run the cancellation sheet","")))))</f>
        <v/>
      </c>
    </row>
    <row r="24">
      <c r="A24" s="4" t="n"/>
      <c r="B24" s="4" t="n"/>
      <c r="C24" s="4" t="n"/>
      <c r="D24" s="5" t="n"/>
      <c r="E24" s="4" t="n"/>
      <c r="F24" s="4" t="n"/>
      <c r="G24" s="6" t="n"/>
      <c r="H24" s="7">
        <f>IF(AND(F24="Hold",G24&lt;&gt;""),G24+Settings!$B$5/24,"")</f>
        <v/>
      </c>
      <c r="I24" s="8">
        <f>IF(F24&lt;&gt;"Hold","",IF(G24="","Add hold time",IF(Settings!$B$7&gt;H24,"EXPIRED: release the date","Active")))</f>
        <v/>
      </c>
      <c r="J24" s="9" t="n"/>
      <c r="K24" s="10" t="n"/>
      <c r="L24" s="11">
        <f>IF(J24="","",ROUND(J24*K24,0))</f>
        <v/>
      </c>
      <c r="M24" s="11">
        <f>IF(J24="","",J24+L24)</f>
        <v/>
      </c>
      <c r="N24" s="11">
        <f>IF(M24="","",ROUND(M24*Settings!$B$6,0))</f>
        <v/>
      </c>
      <c r="O24" s="9" t="n"/>
      <c r="P24" s="11">
        <f>IF(OR(M24="",F24="Cancelled"),"",M24-O24)</f>
        <v/>
      </c>
      <c r="Q24" s="8">
        <f>IF(OR(F24="Hold",F24="Confirmed"),1,0)</f>
        <v/>
      </c>
      <c r="R24" s="8">
        <f>IF(Q24=0,"",IF(IF(E24="Full day",COUNTIFS($C$6:$C$55,C24,$D$6:$D$55,D24,$Q$6:$Q$55,1)-1,COUNTIFS($C$6:$C$55,C24,$D$6:$D$55,D24,$Q$6:$Q$55,1,$E$6:$E$55,E24)-1+COUNTIFS($C$6:$C$55,C24,$D$6:$D$55,D24,$Q$6:$Q$55,1,$E$6:$E$55,"Full day"))&gt;0,"CLASH","OK"))</f>
        <v/>
      </c>
      <c r="S24" s="11">
        <f>IF(OR(F24&lt;&gt;"Confirmed",N24=""),"",MAX(0,N24-O24))</f>
        <v/>
      </c>
      <c r="T24" s="8">
        <f>IF(F24="","",IF(R24="CLASH","Resolve clash today",IF(LEFT(I24,7)="EXPIRED","Release date or chase token",IF(AND(F24="Confirmed",S24&gt;0),"Collect advance shortfall",IF(F24="Cancelled","Run the cancellation sheet","")))))</f>
        <v/>
      </c>
    </row>
    <row r="25">
      <c r="A25" s="4" t="n"/>
      <c r="B25" s="4" t="n"/>
      <c r="C25" s="4" t="n"/>
      <c r="D25" s="5" t="n"/>
      <c r="E25" s="4" t="n"/>
      <c r="F25" s="4" t="n"/>
      <c r="G25" s="6" t="n"/>
      <c r="H25" s="7">
        <f>IF(AND(F25="Hold",G25&lt;&gt;""),G25+Settings!$B$5/24,"")</f>
        <v/>
      </c>
      <c r="I25" s="8">
        <f>IF(F25&lt;&gt;"Hold","",IF(G25="","Add hold time",IF(Settings!$B$7&gt;H25,"EXPIRED: release the date","Active")))</f>
        <v/>
      </c>
      <c r="J25" s="9" t="n"/>
      <c r="K25" s="10" t="n"/>
      <c r="L25" s="11">
        <f>IF(J25="","",ROUND(J25*K25,0))</f>
        <v/>
      </c>
      <c r="M25" s="11">
        <f>IF(J25="","",J25+L25)</f>
        <v/>
      </c>
      <c r="N25" s="11">
        <f>IF(M25="","",ROUND(M25*Settings!$B$6,0))</f>
        <v/>
      </c>
      <c r="O25" s="9" t="n"/>
      <c r="P25" s="11">
        <f>IF(OR(M25="",F25="Cancelled"),"",M25-O25)</f>
        <v/>
      </c>
      <c r="Q25" s="8">
        <f>IF(OR(F25="Hold",F25="Confirmed"),1,0)</f>
        <v/>
      </c>
      <c r="R25" s="8">
        <f>IF(Q25=0,"",IF(IF(E25="Full day",COUNTIFS($C$6:$C$55,C25,$D$6:$D$55,D25,$Q$6:$Q$55,1)-1,COUNTIFS($C$6:$C$55,C25,$D$6:$D$55,D25,$Q$6:$Q$55,1,$E$6:$E$55,E25)-1+COUNTIFS($C$6:$C$55,C25,$D$6:$D$55,D25,$Q$6:$Q$55,1,$E$6:$E$55,"Full day"))&gt;0,"CLASH","OK"))</f>
        <v/>
      </c>
      <c r="S25" s="11">
        <f>IF(OR(F25&lt;&gt;"Confirmed",N25=""),"",MAX(0,N25-O25))</f>
        <v/>
      </c>
      <c r="T25" s="8">
        <f>IF(F25="","",IF(R25="CLASH","Resolve clash today",IF(LEFT(I25,7)="EXPIRED","Release date or chase token",IF(AND(F25="Confirmed",S25&gt;0),"Collect advance shortfall",IF(F25="Cancelled","Run the cancellation sheet","")))))</f>
        <v/>
      </c>
    </row>
    <row r="26">
      <c r="A26" s="4" t="n"/>
      <c r="B26" s="4" t="n"/>
      <c r="C26" s="4" t="n"/>
      <c r="D26" s="5" t="n"/>
      <c r="E26" s="4" t="n"/>
      <c r="F26" s="4" t="n"/>
      <c r="G26" s="6" t="n"/>
      <c r="H26" s="7">
        <f>IF(AND(F26="Hold",G26&lt;&gt;""),G26+Settings!$B$5/24,"")</f>
        <v/>
      </c>
      <c r="I26" s="8">
        <f>IF(F26&lt;&gt;"Hold","",IF(G26="","Add hold time",IF(Settings!$B$7&gt;H26,"EXPIRED: release the date","Active")))</f>
        <v/>
      </c>
      <c r="J26" s="9" t="n"/>
      <c r="K26" s="10" t="n"/>
      <c r="L26" s="11">
        <f>IF(J26="","",ROUND(J26*K26,0))</f>
        <v/>
      </c>
      <c r="M26" s="11">
        <f>IF(J26="","",J26+L26)</f>
        <v/>
      </c>
      <c r="N26" s="11">
        <f>IF(M26="","",ROUND(M26*Settings!$B$6,0))</f>
        <v/>
      </c>
      <c r="O26" s="9" t="n"/>
      <c r="P26" s="11">
        <f>IF(OR(M26="",F26="Cancelled"),"",M26-O26)</f>
        <v/>
      </c>
      <c r="Q26" s="8">
        <f>IF(OR(F26="Hold",F26="Confirmed"),1,0)</f>
        <v/>
      </c>
      <c r="R26" s="8">
        <f>IF(Q26=0,"",IF(IF(E26="Full day",COUNTIFS($C$6:$C$55,C26,$D$6:$D$55,D26,$Q$6:$Q$55,1)-1,COUNTIFS($C$6:$C$55,C26,$D$6:$D$55,D26,$Q$6:$Q$55,1,$E$6:$E$55,E26)-1+COUNTIFS($C$6:$C$55,C26,$D$6:$D$55,D26,$Q$6:$Q$55,1,$E$6:$E$55,"Full day"))&gt;0,"CLASH","OK"))</f>
        <v/>
      </c>
      <c r="S26" s="11">
        <f>IF(OR(F26&lt;&gt;"Confirmed",N26=""),"",MAX(0,N26-O26))</f>
        <v/>
      </c>
      <c r="T26" s="8">
        <f>IF(F26="","",IF(R26="CLASH","Resolve clash today",IF(LEFT(I26,7)="EXPIRED","Release date or chase token",IF(AND(F26="Confirmed",S26&gt;0),"Collect advance shortfall",IF(F26="Cancelled","Run the cancellation sheet","")))))</f>
        <v/>
      </c>
    </row>
    <row r="27">
      <c r="A27" s="4" t="n"/>
      <c r="B27" s="4" t="n"/>
      <c r="C27" s="4" t="n"/>
      <c r="D27" s="5" t="n"/>
      <c r="E27" s="4" t="n"/>
      <c r="F27" s="4" t="n"/>
      <c r="G27" s="6" t="n"/>
      <c r="H27" s="7">
        <f>IF(AND(F27="Hold",G27&lt;&gt;""),G27+Settings!$B$5/24,"")</f>
        <v/>
      </c>
      <c r="I27" s="8">
        <f>IF(F27&lt;&gt;"Hold","",IF(G27="","Add hold time",IF(Settings!$B$7&gt;H27,"EXPIRED: release the date","Active")))</f>
        <v/>
      </c>
      <c r="J27" s="9" t="n"/>
      <c r="K27" s="10" t="n"/>
      <c r="L27" s="11">
        <f>IF(J27="","",ROUND(J27*K27,0))</f>
        <v/>
      </c>
      <c r="M27" s="11">
        <f>IF(J27="","",J27+L27)</f>
        <v/>
      </c>
      <c r="N27" s="11">
        <f>IF(M27="","",ROUND(M27*Settings!$B$6,0))</f>
        <v/>
      </c>
      <c r="O27" s="9" t="n"/>
      <c r="P27" s="11">
        <f>IF(OR(M27="",F27="Cancelled"),"",M27-O27)</f>
        <v/>
      </c>
      <c r="Q27" s="8">
        <f>IF(OR(F27="Hold",F27="Confirmed"),1,0)</f>
        <v/>
      </c>
      <c r="R27" s="8">
        <f>IF(Q27=0,"",IF(IF(E27="Full day",COUNTIFS($C$6:$C$55,C27,$D$6:$D$55,D27,$Q$6:$Q$55,1)-1,COUNTIFS($C$6:$C$55,C27,$D$6:$D$55,D27,$Q$6:$Q$55,1,$E$6:$E$55,E27)-1+COUNTIFS($C$6:$C$55,C27,$D$6:$D$55,D27,$Q$6:$Q$55,1,$E$6:$E$55,"Full day"))&gt;0,"CLASH","OK"))</f>
        <v/>
      </c>
      <c r="S27" s="11">
        <f>IF(OR(F27&lt;&gt;"Confirmed",N27=""),"",MAX(0,N27-O27))</f>
        <v/>
      </c>
      <c r="T27" s="8">
        <f>IF(F27="","",IF(R27="CLASH","Resolve clash today",IF(LEFT(I27,7)="EXPIRED","Release date or chase token",IF(AND(F27="Confirmed",S27&gt;0),"Collect advance shortfall",IF(F27="Cancelled","Run the cancellation sheet","")))))</f>
        <v/>
      </c>
    </row>
    <row r="28">
      <c r="A28" s="4" t="n"/>
      <c r="B28" s="4" t="n"/>
      <c r="C28" s="4" t="n"/>
      <c r="D28" s="5" t="n"/>
      <c r="E28" s="4" t="n"/>
      <c r="F28" s="4" t="n"/>
      <c r="G28" s="6" t="n"/>
      <c r="H28" s="7">
        <f>IF(AND(F28="Hold",G28&lt;&gt;""),G28+Settings!$B$5/24,"")</f>
        <v/>
      </c>
      <c r="I28" s="8">
        <f>IF(F28&lt;&gt;"Hold","",IF(G28="","Add hold time",IF(Settings!$B$7&gt;H28,"EXPIRED: release the date","Active")))</f>
        <v/>
      </c>
      <c r="J28" s="9" t="n"/>
      <c r="K28" s="10" t="n"/>
      <c r="L28" s="11">
        <f>IF(J28="","",ROUND(J28*K28,0))</f>
        <v/>
      </c>
      <c r="M28" s="11">
        <f>IF(J28="","",J28+L28)</f>
        <v/>
      </c>
      <c r="N28" s="11">
        <f>IF(M28="","",ROUND(M28*Settings!$B$6,0))</f>
        <v/>
      </c>
      <c r="O28" s="9" t="n"/>
      <c r="P28" s="11">
        <f>IF(OR(M28="",F28="Cancelled"),"",M28-O28)</f>
        <v/>
      </c>
      <c r="Q28" s="8">
        <f>IF(OR(F28="Hold",F28="Confirmed"),1,0)</f>
        <v/>
      </c>
      <c r="R28" s="8">
        <f>IF(Q28=0,"",IF(IF(E28="Full day",COUNTIFS($C$6:$C$55,C28,$D$6:$D$55,D28,$Q$6:$Q$55,1)-1,COUNTIFS($C$6:$C$55,C28,$D$6:$D$55,D28,$Q$6:$Q$55,1,$E$6:$E$55,E28)-1+COUNTIFS($C$6:$C$55,C28,$D$6:$D$55,D28,$Q$6:$Q$55,1,$E$6:$E$55,"Full day"))&gt;0,"CLASH","OK"))</f>
        <v/>
      </c>
      <c r="S28" s="11">
        <f>IF(OR(F28&lt;&gt;"Confirmed",N28=""),"",MAX(0,N28-O28))</f>
        <v/>
      </c>
      <c r="T28" s="8">
        <f>IF(F28="","",IF(R28="CLASH","Resolve clash today",IF(LEFT(I28,7)="EXPIRED","Release date or chase token",IF(AND(F28="Confirmed",S28&gt;0),"Collect advance shortfall",IF(F28="Cancelled","Run the cancellation sheet","")))))</f>
        <v/>
      </c>
    </row>
    <row r="29">
      <c r="A29" s="4" t="n"/>
      <c r="B29" s="4" t="n"/>
      <c r="C29" s="4" t="n"/>
      <c r="D29" s="5" t="n"/>
      <c r="E29" s="4" t="n"/>
      <c r="F29" s="4" t="n"/>
      <c r="G29" s="6" t="n"/>
      <c r="H29" s="7">
        <f>IF(AND(F29="Hold",G29&lt;&gt;""),G29+Settings!$B$5/24,"")</f>
        <v/>
      </c>
      <c r="I29" s="8">
        <f>IF(F29&lt;&gt;"Hold","",IF(G29="","Add hold time",IF(Settings!$B$7&gt;H29,"EXPIRED: release the date","Active")))</f>
        <v/>
      </c>
      <c r="J29" s="9" t="n"/>
      <c r="K29" s="10" t="n"/>
      <c r="L29" s="11">
        <f>IF(J29="","",ROUND(J29*K29,0))</f>
        <v/>
      </c>
      <c r="M29" s="11">
        <f>IF(J29="","",J29+L29)</f>
        <v/>
      </c>
      <c r="N29" s="11">
        <f>IF(M29="","",ROUND(M29*Settings!$B$6,0))</f>
        <v/>
      </c>
      <c r="O29" s="9" t="n"/>
      <c r="P29" s="11">
        <f>IF(OR(M29="",F29="Cancelled"),"",M29-O29)</f>
        <v/>
      </c>
      <c r="Q29" s="8">
        <f>IF(OR(F29="Hold",F29="Confirmed"),1,0)</f>
        <v/>
      </c>
      <c r="R29" s="8">
        <f>IF(Q29=0,"",IF(IF(E29="Full day",COUNTIFS($C$6:$C$55,C29,$D$6:$D$55,D29,$Q$6:$Q$55,1)-1,COUNTIFS($C$6:$C$55,C29,$D$6:$D$55,D29,$Q$6:$Q$55,1,$E$6:$E$55,E29)-1+COUNTIFS($C$6:$C$55,C29,$D$6:$D$55,D29,$Q$6:$Q$55,1,$E$6:$E$55,"Full day"))&gt;0,"CLASH","OK"))</f>
        <v/>
      </c>
      <c r="S29" s="11">
        <f>IF(OR(F29&lt;&gt;"Confirmed",N29=""),"",MAX(0,N29-O29))</f>
        <v/>
      </c>
      <c r="T29" s="8">
        <f>IF(F29="","",IF(R29="CLASH","Resolve clash today",IF(LEFT(I29,7)="EXPIRED","Release date or chase token",IF(AND(F29="Confirmed",S29&gt;0),"Collect advance shortfall",IF(F29="Cancelled","Run the cancellation sheet","")))))</f>
        <v/>
      </c>
    </row>
    <row r="30">
      <c r="A30" s="4" t="n"/>
      <c r="B30" s="4" t="n"/>
      <c r="C30" s="4" t="n"/>
      <c r="D30" s="5" t="n"/>
      <c r="E30" s="4" t="n"/>
      <c r="F30" s="4" t="n"/>
      <c r="G30" s="6" t="n"/>
      <c r="H30" s="7">
        <f>IF(AND(F30="Hold",G30&lt;&gt;""),G30+Settings!$B$5/24,"")</f>
        <v/>
      </c>
      <c r="I30" s="8">
        <f>IF(F30&lt;&gt;"Hold","",IF(G30="","Add hold time",IF(Settings!$B$7&gt;H30,"EXPIRED: release the date","Active")))</f>
        <v/>
      </c>
      <c r="J30" s="9" t="n"/>
      <c r="K30" s="10" t="n"/>
      <c r="L30" s="11">
        <f>IF(J30="","",ROUND(J30*K30,0))</f>
        <v/>
      </c>
      <c r="M30" s="11">
        <f>IF(J30="","",J30+L30)</f>
        <v/>
      </c>
      <c r="N30" s="11">
        <f>IF(M30="","",ROUND(M30*Settings!$B$6,0))</f>
        <v/>
      </c>
      <c r="O30" s="9" t="n"/>
      <c r="P30" s="11">
        <f>IF(OR(M30="",F30="Cancelled"),"",M30-O30)</f>
        <v/>
      </c>
      <c r="Q30" s="8">
        <f>IF(OR(F30="Hold",F30="Confirmed"),1,0)</f>
        <v/>
      </c>
      <c r="R30" s="8">
        <f>IF(Q30=0,"",IF(IF(E30="Full day",COUNTIFS($C$6:$C$55,C30,$D$6:$D$55,D30,$Q$6:$Q$55,1)-1,COUNTIFS($C$6:$C$55,C30,$D$6:$D$55,D30,$Q$6:$Q$55,1,$E$6:$E$55,E30)-1+COUNTIFS($C$6:$C$55,C30,$D$6:$D$55,D30,$Q$6:$Q$55,1,$E$6:$E$55,"Full day"))&gt;0,"CLASH","OK"))</f>
        <v/>
      </c>
      <c r="S30" s="11">
        <f>IF(OR(F30&lt;&gt;"Confirmed",N30=""),"",MAX(0,N30-O30))</f>
        <v/>
      </c>
      <c r="T30" s="8">
        <f>IF(F30="","",IF(R30="CLASH","Resolve clash today",IF(LEFT(I30,7)="EXPIRED","Release date or chase token",IF(AND(F30="Confirmed",S30&gt;0),"Collect advance shortfall",IF(F30="Cancelled","Run the cancellation sheet","")))))</f>
        <v/>
      </c>
    </row>
    <row r="31">
      <c r="A31" s="4" t="n"/>
      <c r="B31" s="4" t="n"/>
      <c r="C31" s="4" t="n"/>
      <c r="D31" s="5" t="n"/>
      <c r="E31" s="4" t="n"/>
      <c r="F31" s="4" t="n"/>
      <c r="G31" s="6" t="n"/>
      <c r="H31" s="7">
        <f>IF(AND(F31="Hold",G31&lt;&gt;""),G31+Settings!$B$5/24,"")</f>
        <v/>
      </c>
      <c r="I31" s="8">
        <f>IF(F31&lt;&gt;"Hold","",IF(G31="","Add hold time",IF(Settings!$B$7&gt;H31,"EXPIRED: release the date","Active")))</f>
        <v/>
      </c>
      <c r="J31" s="9" t="n"/>
      <c r="K31" s="10" t="n"/>
      <c r="L31" s="11">
        <f>IF(J31="","",ROUND(J31*K31,0))</f>
        <v/>
      </c>
      <c r="M31" s="11">
        <f>IF(J31="","",J31+L31)</f>
        <v/>
      </c>
      <c r="N31" s="11">
        <f>IF(M31="","",ROUND(M31*Settings!$B$6,0))</f>
        <v/>
      </c>
      <c r="O31" s="9" t="n"/>
      <c r="P31" s="11">
        <f>IF(OR(M31="",F31="Cancelled"),"",M31-O31)</f>
        <v/>
      </c>
      <c r="Q31" s="8">
        <f>IF(OR(F31="Hold",F31="Confirmed"),1,0)</f>
        <v/>
      </c>
      <c r="R31" s="8">
        <f>IF(Q31=0,"",IF(IF(E31="Full day",COUNTIFS($C$6:$C$55,C31,$D$6:$D$55,D31,$Q$6:$Q$55,1)-1,COUNTIFS($C$6:$C$55,C31,$D$6:$D$55,D31,$Q$6:$Q$55,1,$E$6:$E$55,E31)-1+COUNTIFS($C$6:$C$55,C31,$D$6:$D$55,D31,$Q$6:$Q$55,1,$E$6:$E$55,"Full day"))&gt;0,"CLASH","OK"))</f>
        <v/>
      </c>
      <c r="S31" s="11">
        <f>IF(OR(F31&lt;&gt;"Confirmed",N31=""),"",MAX(0,N31-O31))</f>
        <v/>
      </c>
      <c r="T31" s="8">
        <f>IF(F31="","",IF(R31="CLASH","Resolve clash today",IF(LEFT(I31,7)="EXPIRED","Release date or chase token",IF(AND(F31="Confirmed",S31&gt;0),"Collect advance shortfall",IF(F31="Cancelled","Run the cancellation sheet","")))))</f>
        <v/>
      </c>
    </row>
    <row r="32">
      <c r="A32" s="4" t="n"/>
      <c r="B32" s="4" t="n"/>
      <c r="C32" s="4" t="n"/>
      <c r="D32" s="5" t="n"/>
      <c r="E32" s="4" t="n"/>
      <c r="F32" s="4" t="n"/>
      <c r="G32" s="6" t="n"/>
      <c r="H32" s="7">
        <f>IF(AND(F32="Hold",G32&lt;&gt;""),G32+Settings!$B$5/24,"")</f>
        <v/>
      </c>
      <c r="I32" s="8">
        <f>IF(F32&lt;&gt;"Hold","",IF(G32="","Add hold time",IF(Settings!$B$7&gt;H32,"EXPIRED: release the date","Active")))</f>
        <v/>
      </c>
      <c r="J32" s="9" t="n"/>
      <c r="K32" s="10" t="n"/>
      <c r="L32" s="11">
        <f>IF(J32="","",ROUND(J32*K32,0))</f>
        <v/>
      </c>
      <c r="M32" s="11">
        <f>IF(J32="","",J32+L32)</f>
        <v/>
      </c>
      <c r="N32" s="11">
        <f>IF(M32="","",ROUND(M32*Settings!$B$6,0))</f>
        <v/>
      </c>
      <c r="O32" s="9" t="n"/>
      <c r="P32" s="11">
        <f>IF(OR(M32="",F32="Cancelled"),"",M32-O32)</f>
        <v/>
      </c>
      <c r="Q32" s="8">
        <f>IF(OR(F32="Hold",F32="Confirmed"),1,0)</f>
        <v/>
      </c>
      <c r="R32" s="8">
        <f>IF(Q32=0,"",IF(IF(E32="Full day",COUNTIFS($C$6:$C$55,C32,$D$6:$D$55,D32,$Q$6:$Q$55,1)-1,COUNTIFS($C$6:$C$55,C32,$D$6:$D$55,D32,$Q$6:$Q$55,1,$E$6:$E$55,E32)-1+COUNTIFS($C$6:$C$55,C32,$D$6:$D$55,D32,$Q$6:$Q$55,1,$E$6:$E$55,"Full day"))&gt;0,"CLASH","OK"))</f>
        <v/>
      </c>
      <c r="S32" s="11">
        <f>IF(OR(F32&lt;&gt;"Confirmed",N32=""),"",MAX(0,N32-O32))</f>
        <v/>
      </c>
      <c r="T32" s="8">
        <f>IF(F32="","",IF(R32="CLASH","Resolve clash today",IF(LEFT(I32,7)="EXPIRED","Release date or chase token",IF(AND(F32="Confirmed",S32&gt;0),"Collect advance shortfall",IF(F32="Cancelled","Run the cancellation sheet","")))))</f>
        <v/>
      </c>
    </row>
    <row r="33">
      <c r="A33" s="4" t="n"/>
      <c r="B33" s="4" t="n"/>
      <c r="C33" s="4" t="n"/>
      <c r="D33" s="5" t="n"/>
      <c r="E33" s="4" t="n"/>
      <c r="F33" s="4" t="n"/>
      <c r="G33" s="6" t="n"/>
      <c r="H33" s="7">
        <f>IF(AND(F33="Hold",G33&lt;&gt;""),G33+Settings!$B$5/24,"")</f>
        <v/>
      </c>
      <c r="I33" s="8">
        <f>IF(F33&lt;&gt;"Hold","",IF(G33="","Add hold time",IF(Settings!$B$7&gt;H33,"EXPIRED: release the date","Active")))</f>
        <v/>
      </c>
      <c r="J33" s="9" t="n"/>
      <c r="K33" s="10" t="n"/>
      <c r="L33" s="11">
        <f>IF(J33="","",ROUND(J33*K33,0))</f>
        <v/>
      </c>
      <c r="M33" s="11">
        <f>IF(J33="","",J33+L33)</f>
        <v/>
      </c>
      <c r="N33" s="11">
        <f>IF(M33="","",ROUND(M33*Settings!$B$6,0))</f>
        <v/>
      </c>
      <c r="O33" s="9" t="n"/>
      <c r="P33" s="11">
        <f>IF(OR(M33="",F33="Cancelled"),"",M33-O33)</f>
        <v/>
      </c>
      <c r="Q33" s="8">
        <f>IF(OR(F33="Hold",F33="Confirmed"),1,0)</f>
        <v/>
      </c>
      <c r="R33" s="8">
        <f>IF(Q33=0,"",IF(IF(E33="Full day",COUNTIFS($C$6:$C$55,C33,$D$6:$D$55,D33,$Q$6:$Q$55,1)-1,COUNTIFS($C$6:$C$55,C33,$D$6:$D$55,D33,$Q$6:$Q$55,1,$E$6:$E$55,E33)-1+COUNTIFS($C$6:$C$55,C33,$D$6:$D$55,D33,$Q$6:$Q$55,1,$E$6:$E$55,"Full day"))&gt;0,"CLASH","OK"))</f>
        <v/>
      </c>
      <c r="S33" s="11">
        <f>IF(OR(F33&lt;&gt;"Confirmed",N33=""),"",MAX(0,N33-O33))</f>
        <v/>
      </c>
      <c r="T33" s="8">
        <f>IF(F33="","",IF(R33="CLASH","Resolve clash today",IF(LEFT(I33,7)="EXPIRED","Release date or chase token",IF(AND(F33="Confirmed",S33&gt;0),"Collect advance shortfall",IF(F33="Cancelled","Run the cancellation sheet","")))))</f>
        <v/>
      </c>
    </row>
    <row r="34">
      <c r="A34" s="4" t="n"/>
      <c r="B34" s="4" t="n"/>
      <c r="C34" s="4" t="n"/>
      <c r="D34" s="5" t="n"/>
      <c r="E34" s="4" t="n"/>
      <c r="F34" s="4" t="n"/>
      <c r="G34" s="6" t="n"/>
      <c r="H34" s="7">
        <f>IF(AND(F34="Hold",G34&lt;&gt;""),G34+Settings!$B$5/24,"")</f>
        <v/>
      </c>
      <c r="I34" s="8">
        <f>IF(F34&lt;&gt;"Hold","",IF(G34="","Add hold time",IF(Settings!$B$7&gt;H34,"EXPIRED: release the date","Active")))</f>
        <v/>
      </c>
      <c r="J34" s="9" t="n"/>
      <c r="K34" s="10" t="n"/>
      <c r="L34" s="11">
        <f>IF(J34="","",ROUND(J34*K34,0))</f>
        <v/>
      </c>
      <c r="M34" s="11">
        <f>IF(J34="","",J34+L34)</f>
        <v/>
      </c>
      <c r="N34" s="11">
        <f>IF(M34="","",ROUND(M34*Settings!$B$6,0))</f>
        <v/>
      </c>
      <c r="O34" s="9" t="n"/>
      <c r="P34" s="11">
        <f>IF(OR(M34="",F34="Cancelled"),"",M34-O34)</f>
        <v/>
      </c>
      <c r="Q34" s="8">
        <f>IF(OR(F34="Hold",F34="Confirmed"),1,0)</f>
        <v/>
      </c>
      <c r="R34" s="8">
        <f>IF(Q34=0,"",IF(IF(E34="Full day",COUNTIFS($C$6:$C$55,C34,$D$6:$D$55,D34,$Q$6:$Q$55,1)-1,COUNTIFS($C$6:$C$55,C34,$D$6:$D$55,D34,$Q$6:$Q$55,1,$E$6:$E$55,E34)-1+COUNTIFS($C$6:$C$55,C34,$D$6:$D$55,D34,$Q$6:$Q$55,1,$E$6:$E$55,"Full day"))&gt;0,"CLASH","OK"))</f>
        <v/>
      </c>
      <c r="S34" s="11">
        <f>IF(OR(F34&lt;&gt;"Confirmed",N34=""),"",MAX(0,N34-O34))</f>
        <v/>
      </c>
      <c r="T34" s="8">
        <f>IF(F34="","",IF(R34="CLASH","Resolve clash today",IF(LEFT(I34,7)="EXPIRED","Release date or chase token",IF(AND(F34="Confirmed",S34&gt;0),"Collect advance shortfall",IF(F34="Cancelled","Run the cancellation sheet","")))))</f>
        <v/>
      </c>
    </row>
    <row r="35">
      <c r="A35" s="4" t="n"/>
      <c r="B35" s="4" t="n"/>
      <c r="C35" s="4" t="n"/>
      <c r="D35" s="5" t="n"/>
      <c r="E35" s="4" t="n"/>
      <c r="F35" s="4" t="n"/>
      <c r="G35" s="6" t="n"/>
      <c r="H35" s="7">
        <f>IF(AND(F35="Hold",G35&lt;&gt;""),G35+Settings!$B$5/24,"")</f>
        <v/>
      </c>
      <c r="I35" s="8">
        <f>IF(F35&lt;&gt;"Hold","",IF(G35="","Add hold time",IF(Settings!$B$7&gt;H35,"EXPIRED: release the date","Active")))</f>
        <v/>
      </c>
      <c r="J35" s="9" t="n"/>
      <c r="K35" s="10" t="n"/>
      <c r="L35" s="11">
        <f>IF(J35="","",ROUND(J35*K35,0))</f>
        <v/>
      </c>
      <c r="M35" s="11">
        <f>IF(J35="","",J35+L35)</f>
        <v/>
      </c>
      <c r="N35" s="11">
        <f>IF(M35="","",ROUND(M35*Settings!$B$6,0))</f>
        <v/>
      </c>
      <c r="O35" s="9" t="n"/>
      <c r="P35" s="11">
        <f>IF(OR(M35="",F35="Cancelled"),"",M35-O35)</f>
        <v/>
      </c>
      <c r="Q35" s="8">
        <f>IF(OR(F35="Hold",F35="Confirmed"),1,0)</f>
        <v/>
      </c>
      <c r="R35" s="8">
        <f>IF(Q35=0,"",IF(IF(E35="Full day",COUNTIFS($C$6:$C$55,C35,$D$6:$D$55,D35,$Q$6:$Q$55,1)-1,COUNTIFS($C$6:$C$55,C35,$D$6:$D$55,D35,$Q$6:$Q$55,1,$E$6:$E$55,E35)-1+COUNTIFS($C$6:$C$55,C35,$D$6:$D$55,D35,$Q$6:$Q$55,1,$E$6:$E$55,"Full day"))&gt;0,"CLASH","OK"))</f>
        <v/>
      </c>
      <c r="S35" s="11">
        <f>IF(OR(F35&lt;&gt;"Confirmed",N35=""),"",MAX(0,N35-O35))</f>
        <v/>
      </c>
      <c r="T35" s="8">
        <f>IF(F35="","",IF(R35="CLASH","Resolve clash today",IF(LEFT(I35,7)="EXPIRED","Release date or chase token",IF(AND(F35="Confirmed",S35&gt;0),"Collect advance shortfall",IF(F35="Cancelled","Run the cancellation sheet","")))))</f>
        <v/>
      </c>
    </row>
    <row r="36">
      <c r="A36" s="4" t="n"/>
      <c r="B36" s="4" t="n"/>
      <c r="C36" s="4" t="n"/>
      <c r="D36" s="5" t="n"/>
      <c r="E36" s="4" t="n"/>
      <c r="F36" s="4" t="n"/>
      <c r="G36" s="6" t="n"/>
      <c r="H36" s="7">
        <f>IF(AND(F36="Hold",G36&lt;&gt;""),G36+Settings!$B$5/24,"")</f>
        <v/>
      </c>
      <c r="I36" s="8">
        <f>IF(F36&lt;&gt;"Hold","",IF(G36="","Add hold time",IF(Settings!$B$7&gt;H36,"EXPIRED: release the date","Active")))</f>
        <v/>
      </c>
      <c r="J36" s="9" t="n"/>
      <c r="K36" s="10" t="n"/>
      <c r="L36" s="11">
        <f>IF(J36="","",ROUND(J36*K36,0))</f>
        <v/>
      </c>
      <c r="M36" s="11">
        <f>IF(J36="","",J36+L36)</f>
        <v/>
      </c>
      <c r="N36" s="11">
        <f>IF(M36="","",ROUND(M36*Settings!$B$6,0))</f>
        <v/>
      </c>
      <c r="O36" s="9" t="n"/>
      <c r="P36" s="11">
        <f>IF(OR(M36="",F36="Cancelled"),"",M36-O36)</f>
        <v/>
      </c>
      <c r="Q36" s="8">
        <f>IF(OR(F36="Hold",F36="Confirmed"),1,0)</f>
        <v/>
      </c>
      <c r="R36" s="8">
        <f>IF(Q36=0,"",IF(IF(E36="Full day",COUNTIFS($C$6:$C$55,C36,$D$6:$D$55,D36,$Q$6:$Q$55,1)-1,COUNTIFS($C$6:$C$55,C36,$D$6:$D$55,D36,$Q$6:$Q$55,1,$E$6:$E$55,E36)-1+COUNTIFS($C$6:$C$55,C36,$D$6:$D$55,D36,$Q$6:$Q$55,1,$E$6:$E$55,"Full day"))&gt;0,"CLASH","OK"))</f>
        <v/>
      </c>
      <c r="S36" s="11">
        <f>IF(OR(F36&lt;&gt;"Confirmed",N36=""),"",MAX(0,N36-O36))</f>
        <v/>
      </c>
      <c r="T36" s="8">
        <f>IF(F36="","",IF(R36="CLASH","Resolve clash today",IF(LEFT(I36,7)="EXPIRED","Release date or chase token",IF(AND(F36="Confirmed",S36&gt;0),"Collect advance shortfall",IF(F36="Cancelled","Run the cancellation sheet","")))))</f>
        <v/>
      </c>
    </row>
    <row r="37">
      <c r="A37" s="4" t="n"/>
      <c r="B37" s="4" t="n"/>
      <c r="C37" s="4" t="n"/>
      <c r="D37" s="5" t="n"/>
      <c r="E37" s="4" t="n"/>
      <c r="F37" s="4" t="n"/>
      <c r="G37" s="6" t="n"/>
      <c r="H37" s="7">
        <f>IF(AND(F37="Hold",G37&lt;&gt;""),G37+Settings!$B$5/24,"")</f>
        <v/>
      </c>
      <c r="I37" s="8">
        <f>IF(F37&lt;&gt;"Hold","",IF(G37="","Add hold time",IF(Settings!$B$7&gt;H37,"EXPIRED: release the date","Active")))</f>
        <v/>
      </c>
      <c r="J37" s="9" t="n"/>
      <c r="K37" s="10" t="n"/>
      <c r="L37" s="11">
        <f>IF(J37="","",ROUND(J37*K37,0))</f>
        <v/>
      </c>
      <c r="M37" s="11">
        <f>IF(J37="","",J37+L37)</f>
        <v/>
      </c>
      <c r="N37" s="11">
        <f>IF(M37="","",ROUND(M37*Settings!$B$6,0))</f>
        <v/>
      </c>
      <c r="O37" s="9" t="n"/>
      <c r="P37" s="11">
        <f>IF(OR(M37="",F37="Cancelled"),"",M37-O37)</f>
        <v/>
      </c>
      <c r="Q37" s="8">
        <f>IF(OR(F37="Hold",F37="Confirmed"),1,0)</f>
        <v/>
      </c>
      <c r="R37" s="8">
        <f>IF(Q37=0,"",IF(IF(E37="Full day",COUNTIFS($C$6:$C$55,C37,$D$6:$D$55,D37,$Q$6:$Q$55,1)-1,COUNTIFS($C$6:$C$55,C37,$D$6:$D$55,D37,$Q$6:$Q$55,1,$E$6:$E$55,E37)-1+COUNTIFS($C$6:$C$55,C37,$D$6:$D$55,D37,$Q$6:$Q$55,1,$E$6:$E$55,"Full day"))&gt;0,"CLASH","OK"))</f>
        <v/>
      </c>
      <c r="S37" s="11">
        <f>IF(OR(F37&lt;&gt;"Confirmed",N37=""),"",MAX(0,N37-O37))</f>
        <v/>
      </c>
      <c r="T37" s="8">
        <f>IF(F37="","",IF(R37="CLASH","Resolve clash today",IF(LEFT(I37,7)="EXPIRED","Release date or chase token",IF(AND(F37="Confirmed",S37&gt;0),"Collect advance shortfall",IF(F37="Cancelled","Run the cancellation sheet","")))))</f>
        <v/>
      </c>
    </row>
    <row r="38">
      <c r="A38" s="4" t="n"/>
      <c r="B38" s="4" t="n"/>
      <c r="C38" s="4" t="n"/>
      <c r="D38" s="5" t="n"/>
      <c r="E38" s="4" t="n"/>
      <c r="F38" s="4" t="n"/>
      <c r="G38" s="6" t="n"/>
      <c r="H38" s="7">
        <f>IF(AND(F38="Hold",G38&lt;&gt;""),G38+Settings!$B$5/24,"")</f>
        <v/>
      </c>
      <c r="I38" s="8">
        <f>IF(F38&lt;&gt;"Hold","",IF(G38="","Add hold time",IF(Settings!$B$7&gt;H38,"EXPIRED: release the date","Active")))</f>
        <v/>
      </c>
      <c r="J38" s="9" t="n"/>
      <c r="K38" s="10" t="n"/>
      <c r="L38" s="11">
        <f>IF(J38="","",ROUND(J38*K38,0))</f>
        <v/>
      </c>
      <c r="M38" s="11">
        <f>IF(J38="","",J38+L38)</f>
        <v/>
      </c>
      <c r="N38" s="11">
        <f>IF(M38="","",ROUND(M38*Settings!$B$6,0))</f>
        <v/>
      </c>
      <c r="O38" s="9" t="n"/>
      <c r="P38" s="11">
        <f>IF(OR(M38="",F38="Cancelled"),"",M38-O38)</f>
        <v/>
      </c>
      <c r="Q38" s="8">
        <f>IF(OR(F38="Hold",F38="Confirmed"),1,0)</f>
        <v/>
      </c>
      <c r="R38" s="8">
        <f>IF(Q38=0,"",IF(IF(E38="Full day",COUNTIFS($C$6:$C$55,C38,$D$6:$D$55,D38,$Q$6:$Q$55,1)-1,COUNTIFS($C$6:$C$55,C38,$D$6:$D$55,D38,$Q$6:$Q$55,1,$E$6:$E$55,E38)-1+COUNTIFS($C$6:$C$55,C38,$D$6:$D$55,D38,$Q$6:$Q$55,1,$E$6:$E$55,"Full day"))&gt;0,"CLASH","OK"))</f>
        <v/>
      </c>
      <c r="S38" s="11">
        <f>IF(OR(F38&lt;&gt;"Confirmed",N38=""),"",MAX(0,N38-O38))</f>
        <v/>
      </c>
      <c r="T38" s="8">
        <f>IF(F38="","",IF(R38="CLASH","Resolve clash today",IF(LEFT(I38,7)="EXPIRED","Release date or chase token",IF(AND(F38="Confirmed",S38&gt;0),"Collect advance shortfall",IF(F38="Cancelled","Run the cancellation sheet","")))))</f>
        <v/>
      </c>
    </row>
    <row r="39">
      <c r="A39" s="4" t="n"/>
      <c r="B39" s="4" t="n"/>
      <c r="C39" s="4" t="n"/>
      <c r="D39" s="5" t="n"/>
      <c r="E39" s="4" t="n"/>
      <c r="F39" s="4" t="n"/>
      <c r="G39" s="6" t="n"/>
      <c r="H39" s="7">
        <f>IF(AND(F39="Hold",G39&lt;&gt;""),G39+Settings!$B$5/24,"")</f>
        <v/>
      </c>
      <c r="I39" s="8">
        <f>IF(F39&lt;&gt;"Hold","",IF(G39="","Add hold time",IF(Settings!$B$7&gt;H39,"EXPIRED: release the date","Active")))</f>
        <v/>
      </c>
      <c r="J39" s="9" t="n"/>
      <c r="K39" s="10" t="n"/>
      <c r="L39" s="11">
        <f>IF(J39="","",ROUND(J39*K39,0))</f>
        <v/>
      </c>
      <c r="M39" s="11">
        <f>IF(J39="","",J39+L39)</f>
        <v/>
      </c>
      <c r="N39" s="11">
        <f>IF(M39="","",ROUND(M39*Settings!$B$6,0))</f>
        <v/>
      </c>
      <c r="O39" s="9" t="n"/>
      <c r="P39" s="11">
        <f>IF(OR(M39="",F39="Cancelled"),"",M39-O39)</f>
        <v/>
      </c>
      <c r="Q39" s="8">
        <f>IF(OR(F39="Hold",F39="Confirmed"),1,0)</f>
        <v/>
      </c>
      <c r="R39" s="8">
        <f>IF(Q39=0,"",IF(IF(E39="Full day",COUNTIFS($C$6:$C$55,C39,$D$6:$D$55,D39,$Q$6:$Q$55,1)-1,COUNTIFS($C$6:$C$55,C39,$D$6:$D$55,D39,$Q$6:$Q$55,1,$E$6:$E$55,E39)-1+COUNTIFS($C$6:$C$55,C39,$D$6:$D$55,D39,$Q$6:$Q$55,1,$E$6:$E$55,"Full day"))&gt;0,"CLASH","OK"))</f>
        <v/>
      </c>
      <c r="S39" s="11">
        <f>IF(OR(F39&lt;&gt;"Confirmed",N39=""),"",MAX(0,N39-O39))</f>
        <v/>
      </c>
      <c r="T39" s="8">
        <f>IF(F39="","",IF(R39="CLASH","Resolve clash today",IF(LEFT(I39,7)="EXPIRED","Release date or chase token",IF(AND(F39="Confirmed",S39&gt;0),"Collect advance shortfall",IF(F39="Cancelled","Run the cancellation sheet","")))))</f>
        <v/>
      </c>
    </row>
    <row r="40">
      <c r="A40" s="4" t="n"/>
      <c r="B40" s="4" t="n"/>
      <c r="C40" s="4" t="n"/>
      <c r="D40" s="5" t="n"/>
      <c r="E40" s="4" t="n"/>
      <c r="F40" s="4" t="n"/>
      <c r="G40" s="6" t="n"/>
      <c r="H40" s="7">
        <f>IF(AND(F40="Hold",G40&lt;&gt;""),G40+Settings!$B$5/24,"")</f>
        <v/>
      </c>
      <c r="I40" s="8">
        <f>IF(F40&lt;&gt;"Hold","",IF(G40="","Add hold time",IF(Settings!$B$7&gt;H40,"EXPIRED: release the date","Active")))</f>
        <v/>
      </c>
      <c r="J40" s="9" t="n"/>
      <c r="K40" s="10" t="n"/>
      <c r="L40" s="11">
        <f>IF(J40="","",ROUND(J40*K40,0))</f>
        <v/>
      </c>
      <c r="M40" s="11">
        <f>IF(J40="","",J40+L40)</f>
        <v/>
      </c>
      <c r="N40" s="11">
        <f>IF(M40="","",ROUND(M40*Settings!$B$6,0))</f>
        <v/>
      </c>
      <c r="O40" s="9" t="n"/>
      <c r="P40" s="11">
        <f>IF(OR(M40="",F40="Cancelled"),"",M40-O40)</f>
        <v/>
      </c>
      <c r="Q40" s="8">
        <f>IF(OR(F40="Hold",F40="Confirmed"),1,0)</f>
        <v/>
      </c>
      <c r="R40" s="8">
        <f>IF(Q40=0,"",IF(IF(E40="Full day",COUNTIFS($C$6:$C$55,C40,$D$6:$D$55,D40,$Q$6:$Q$55,1)-1,COUNTIFS($C$6:$C$55,C40,$D$6:$D$55,D40,$Q$6:$Q$55,1,$E$6:$E$55,E40)-1+COUNTIFS($C$6:$C$55,C40,$D$6:$D$55,D40,$Q$6:$Q$55,1,$E$6:$E$55,"Full day"))&gt;0,"CLASH","OK"))</f>
        <v/>
      </c>
      <c r="S40" s="11">
        <f>IF(OR(F40&lt;&gt;"Confirmed",N40=""),"",MAX(0,N40-O40))</f>
        <v/>
      </c>
      <c r="T40" s="8">
        <f>IF(F40="","",IF(R40="CLASH","Resolve clash today",IF(LEFT(I40,7)="EXPIRED","Release date or chase token",IF(AND(F40="Confirmed",S40&gt;0),"Collect advance shortfall",IF(F40="Cancelled","Run the cancellation sheet","")))))</f>
        <v/>
      </c>
    </row>
    <row r="41">
      <c r="A41" s="4" t="n"/>
      <c r="B41" s="4" t="n"/>
      <c r="C41" s="4" t="n"/>
      <c r="D41" s="5" t="n"/>
      <c r="E41" s="4" t="n"/>
      <c r="F41" s="4" t="n"/>
      <c r="G41" s="6" t="n"/>
      <c r="H41" s="7">
        <f>IF(AND(F41="Hold",G41&lt;&gt;""),G41+Settings!$B$5/24,"")</f>
        <v/>
      </c>
      <c r="I41" s="8">
        <f>IF(F41&lt;&gt;"Hold","",IF(G41="","Add hold time",IF(Settings!$B$7&gt;H41,"EXPIRED: release the date","Active")))</f>
        <v/>
      </c>
      <c r="J41" s="9" t="n"/>
      <c r="K41" s="10" t="n"/>
      <c r="L41" s="11">
        <f>IF(J41="","",ROUND(J41*K41,0))</f>
        <v/>
      </c>
      <c r="M41" s="11">
        <f>IF(J41="","",J41+L41)</f>
        <v/>
      </c>
      <c r="N41" s="11">
        <f>IF(M41="","",ROUND(M41*Settings!$B$6,0))</f>
        <v/>
      </c>
      <c r="O41" s="9" t="n"/>
      <c r="P41" s="11">
        <f>IF(OR(M41="",F41="Cancelled"),"",M41-O41)</f>
        <v/>
      </c>
      <c r="Q41" s="8">
        <f>IF(OR(F41="Hold",F41="Confirmed"),1,0)</f>
        <v/>
      </c>
      <c r="R41" s="8">
        <f>IF(Q41=0,"",IF(IF(E41="Full day",COUNTIFS($C$6:$C$55,C41,$D$6:$D$55,D41,$Q$6:$Q$55,1)-1,COUNTIFS($C$6:$C$55,C41,$D$6:$D$55,D41,$Q$6:$Q$55,1,$E$6:$E$55,E41)-1+COUNTIFS($C$6:$C$55,C41,$D$6:$D$55,D41,$Q$6:$Q$55,1,$E$6:$E$55,"Full day"))&gt;0,"CLASH","OK"))</f>
        <v/>
      </c>
      <c r="S41" s="11">
        <f>IF(OR(F41&lt;&gt;"Confirmed",N41=""),"",MAX(0,N41-O41))</f>
        <v/>
      </c>
      <c r="T41" s="8">
        <f>IF(F41="","",IF(R41="CLASH","Resolve clash today",IF(LEFT(I41,7)="EXPIRED","Release date or chase token",IF(AND(F41="Confirmed",S41&gt;0),"Collect advance shortfall",IF(F41="Cancelled","Run the cancellation sheet","")))))</f>
        <v/>
      </c>
    </row>
    <row r="42">
      <c r="A42" s="4" t="n"/>
      <c r="B42" s="4" t="n"/>
      <c r="C42" s="4" t="n"/>
      <c r="D42" s="5" t="n"/>
      <c r="E42" s="4" t="n"/>
      <c r="F42" s="4" t="n"/>
      <c r="G42" s="6" t="n"/>
      <c r="H42" s="7">
        <f>IF(AND(F42="Hold",G42&lt;&gt;""),G42+Settings!$B$5/24,"")</f>
        <v/>
      </c>
      <c r="I42" s="8">
        <f>IF(F42&lt;&gt;"Hold","",IF(G42="","Add hold time",IF(Settings!$B$7&gt;H42,"EXPIRED: release the date","Active")))</f>
        <v/>
      </c>
      <c r="J42" s="9" t="n"/>
      <c r="K42" s="10" t="n"/>
      <c r="L42" s="11">
        <f>IF(J42="","",ROUND(J42*K42,0))</f>
        <v/>
      </c>
      <c r="M42" s="11">
        <f>IF(J42="","",J42+L42)</f>
        <v/>
      </c>
      <c r="N42" s="11">
        <f>IF(M42="","",ROUND(M42*Settings!$B$6,0))</f>
        <v/>
      </c>
      <c r="O42" s="9" t="n"/>
      <c r="P42" s="11">
        <f>IF(OR(M42="",F42="Cancelled"),"",M42-O42)</f>
        <v/>
      </c>
      <c r="Q42" s="8">
        <f>IF(OR(F42="Hold",F42="Confirmed"),1,0)</f>
        <v/>
      </c>
      <c r="R42" s="8">
        <f>IF(Q42=0,"",IF(IF(E42="Full day",COUNTIFS($C$6:$C$55,C42,$D$6:$D$55,D42,$Q$6:$Q$55,1)-1,COUNTIFS($C$6:$C$55,C42,$D$6:$D$55,D42,$Q$6:$Q$55,1,$E$6:$E$55,E42)-1+COUNTIFS($C$6:$C$55,C42,$D$6:$D$55,D42,$Q$6:$Q$55,1,$E$6:$E$55,"Full day"))&gt;0,"CLASH","OK"))</f>
        <v/>
      </c>
      <c r="S42" s="11">
        <f>IF(OR(F42&lt;&gt;"Confirmed",N42=""),"",MAX(0,N42-O42))</f>
        <v/>
      </c>
      <c r="T42" s="8">
        <f>IF(F42="","",IF(R42="CLASH","Resolve clash today",IF(LEFT(I42,7)="EXPIRED","Release date or chase token",IF(AND(F42="Confirmed",S42&gt;0),"Collect advance shortfall",IF(F42="Cancelled","Run the cancellation sheet","")))))</f>
        <v/>
      </c>
    </row>
    <row r="43">
      <c r="A43" s="4" t="n"/>
      <c r="B43" s="4" t="n"/>
      <c r="C43" s="4" t="n"/>
      <c r="D43" s="5" t="n"/>
      <c r="E43" s="4" t="n"/>
      <c r="F43" s="4" t="n"/>
      <c r="G43" s="6" t="n"/>
      <c r="H43" s="7">
        <f>IF(AND(F43="Hold",G43&lt;&gt;""),G43+Settings!$B$5/24,"")</f>
        <v/>
      </c>
      <c r="I43" s="8">
        <f>IF(F43&lt;&gt;"Hold","",IF(G43="","Add hold time",IF(Settings!$B$7&gt;H43,"EXPIRED: release the date","Active")))</f>
        <v/>
      </c>
      <c r="J43" s="9" t="n"/>
      <c r="K43" s="10" t="n"/>
      <c r="L43" s="11">
        <f>IF(J43="","",ROUND(J43*K43,0))</f>
        <v/>
      </c>
      <c r="M43" s="11">
        <f>IF(J43="","",J43+L43)</f>
        <v/>
      </c>
      <c r="N43" s="11">
        <f>IF(M43="","",ROUND(M43*Settings!$B$6,0))</f>
        <v/>
      </c>
      <c r="O43" s="9" t="n"/>
      <c r="P43" s="11">
        <f>IF(OR(M43="",F43="Cancelled"),"",M43-O43)</f>
        <v/>
      </c>
      <c r="Q43" s="8">
        <f>IF(OR(F43="Hold",F43="Confirmed"),1,0)</f>
        <v/>
      </c>
      <c r="R43" s="8">
        <f>IF(Q43=0,"",IF(IF(E43="Full day",COUNTIFS($C$6:$C$55,C43,$D$6:$D$55,D43,$Q$6:$Q$55,1)-1,COUNTIFS($C$6:$C$55,C43,$D$6:$D$55,D43,$Q$6:$Q$55,1,$E$6:$E$55,E43)-1+COUNTIFS($C$6:$C$55,C43,$D$6:$D$55,D43,$Q$6:$Q$55,1,$E$6:$E$55,"Full day"))&gt;0,"CLASH","OK"))</f>
        <v/>
      </c>
      <c r="S43" s="11">
        <f>IF(OR(F43&lt;&gt;"Confirmed",N43=""),"",MAX(0,N43-O43))</f>
        <v/>
      </c>
      <c r="T43" s="8">
        <f>IF(F43="","",IF(R43="CLASH","Resolve clash today",IF(LEFT(I43,7)="EXPIRED","Release date or chase token",IF(AND(F43="Confirmed",S43&gt;0),"Collect advance shortfall",IF(F43="Cancelled","Run the cancellation sheet","")))))</f>
        <v/>
      </c>
    </row>
    <row r="44">
      <c r="A44" s="4" t="n"/>
      <c r="B44" s="4" t="n"/>
      <c r="C44" s="4" t="n"/>
      <c r="D44" s="5" t="n"/>
      <c r="E44" s="4" t="n"/>
      <c r="F44" s="4" t="n"/>
      <c r="G44" s="6" t="n"/>
      <c r="H44" s="7">
        <f>IF(AND(F44="Hold",G44&lt;&gt;""),G44+Settings!$B$5/24,"")</f>
        <v/>
      </c>
      <c r="I44" s="8">
        <f>IF(F44&lt;&gt;"Hold","",IF(G44="","Add hold time",IF(Settings!$B$7&gt;H44,"EXPIRED: release the date","Active")))</f>
        <v/>
      </c>
      <c r="J44" s="9" t="n"/>
      <c r="K44" s="10" t="n"/>
      <c r="L44" s="11">
        <f>IF(J44="","",ROUND(J44*K44,0))</f>
        <v/>
      </c>
      <c r="M44" s="11">
        <f>IF(J44="","",J44+L44)</f>
        <v/>
      </c>
      <c r="N44" s="11">
        <f>IF(M44="","",ROUND(M44*Settings!$B$6,0))</f>
        <v/>
      </c>
      <c r="O44" s="9" t="n"/>
      <c r="P44" s="11">
        <f>IF(OR(M44="",F44="Cancelled"),"",M44-O44)</f>
        <v/>
      </c>
      <c r="Q44" s="8">
        <f>IF(OR(F44="Hold",F44="Confirmed"),1,0)</f>
        <v/>
      </c>
      <c r="R44" s="8">
        <f>IF(Q44=0,"",IF(IF(E44="Full day",COUNTIFS($C$6:$C$55,C44,$D$6:$D$55,D44,$Q$6:$Q$55,1)-1,COUNTIFS($C$6:$C$55,C44,$D$6:$D$55,D44,$Q$6:$Q$55,1,$E$6:$E$55,E44)-1+COUNTIFS($C$6:$C$55,C44,$D$6:$D$55,D44,$Q$6:$Q$55,1,$E$6:$E$55,"Full day"))&gt;0,"CLASH","OK"))</f>
        <v/>
      </c>
      <c r="S44" s="11">
        <f>IF(OR(F44&lt;&gt;"Confirmed",N44=""),"",MAX(0,N44-O44))</f>
        <v/>
      </c>
      <c r="T44" s="8">
        <f>IF(F44="","",IF(R44="CLASH","Resolve clash today",IF(LEFT(I44,7)="EXPIRED","Release date or chase token",IF(AND(F44="Confirmed",S44&gt;0),"Collect advance shortfall",IF(F44="Cancelled","Run the cancellation sheet","")))))</f>
        <v/>
      </c>
    </row>
    <row r="45">
      <c r="A45" s="4" t="n"/>
      <c r="B45" s="4" t="n"/>
      <c r="C45" s="4" t="n"/>
      <c r="D45" s="5" t="n"/>
      <c r="E45" s="4" t="n"/>
      <c r="F45" s="4" t="n"/>
      <c r="G45" s="6" t="n"/>
      <c r="H45" s="7">
        <f>IF(AND(F45="Hold",G45&lt;&gt;""),G45+Settings!$B$5/24,"")</f>
        <v/>
      </c>
      <c r="I45" s="8">
        <f>IF(F45&lt;&gt;"Hold","",IF(G45="","Add hold time",IF(Settings!$B$7&gt;H45,"EXPIRED: release the date","Active")))</f>
        <v/>
      </c>
      <c r="J45" s="9" t="n"/>
      <c r="K45" s="10" t="n"/>
      <c r="L45" s="11">
        <f>IF(J45="","",ROUND(J45*K45,0))</f>
        <v/>
      </c>
      <c r="M45" s="11">
        <f>IF(J45="","",J45+L45)</f>
        <v/>
      </c>
      <c r="N45" s="11">
        <f>IF(M45="","",ROUND(M45*Settings!$B$6,0))</f>
        <v/>
      </c>
      <c r="O45" s="9" t="n"/>
      <c r="P45" s="11">
        <f>IF(OR(M45="",F45="Cancelled"),"",M45-O45)</f>
        <v/>
      </c>
      <c r="Q45" s="8">
        <f>IF(OR(F45="Hold",F45="Confirmed"),1,0)</f>
        <v/>
      </c>
      <c r="R45" s="8">
        <f>IF(Q45=0,"",IF(IF(E45="Full day",COUNTIFS($C$6:$C$55,C45,$D$6:$D$55,D45,$Q$6:$Q$55,1)-1,COUNTIFS($C$6:$C$55,C45,$D$6:$D$55,D45,$Q$6:$Q$55,1,$E$6:$E$55,E45)-1+COUNTIFS($C$6:$C$55,C45,$D$6:$D$55,D45,$Q$6:$Q$55,1,$E$6:$E$55,"Full day"))&gt;0,"CLASH","OK"))</f>
        <v/>
      </c>
      <c r="S45" s="11">
        <f>IF(OR(F45&lt;&gt;"Confirmed",N45=""),"",MAX(0,N45-O45))</f>
        <v/>
      </c>
      <c r="T45" s="8">
        <f>IF(F45="","",IF(R45="CLASH","Resolve clash today",IF(LEFT(I45,7)="EXPIRED","Release date or chase token",IF(AND(F45="Confirmed",S45&gt;0),"Collect advance shortfall",IF(F45="Cancelled","Run the cancellation sheet","")))))</f>
        <v/>
      </c>
    </row>
    <row r="46">
      <c r="A46" s="4" t="n"/>
      <c r="B46" s="4" t="n"/>
      <c r="C46" s="4" t="n"/>
      <c r="D46" s="5" t="n"/>
      <c r="E46" s="4" t="n"/>
      <c r="F46" s="4" t="n"/>
      <c r="G46" s="6" t="n"/>
      <c r="H46" s="7">
        <f>IF(AND(F46="Hold",G46&lt;&gt;""),G46+Settings!$B$5/24,"")</f>
        <v/>
      </c>
      <c r="I46" s="8">
        <f>IF(F46&lt;&gt;"Hold","",IF(G46="","Add hold time",IF(Settings!$B$7&gt;H46,"EXPIRED: release the date","Active")))</f>
        <v/>
      </c>
      <c r="J46" s="9" t="n"/>
      <c r="K46" s="10" t="n"/>
      <c r="L46" s="11">
        <f>IF(J46="","",ROUND(J46*K46,0))</f>
        <v/>
      </c>
      <c r="M46" s="11">
        <f>IF(J46="","",J46+L46)</f>
        <v/>
      </c>
      <c r="N46" s="11">
        <f>IF(M46="","",ROUND(M46*Settings!$B$6,0))</f>
        <v/>
      </c>
      <c r="O46" s="9" t="n"/>
      <c r="P46" s="11">
        <f>IF(OR(M46="",F46="Cancelled"),"",M46-O46)</f>
        <v/>
      </c>
      <c r="Q46" s="8">
        <f>IF(OR(F46="Hold",F46="Confirmed"),1,0)</f>
        <v/>
      </c>
      <c r="R46" s="8">
        <f>IF(Q46=0,"",IF(IF(E46="Full day",COUNTIFS($C$6:$C$55,C46,$D$6:$D$55,D46,$Q$6:$Q$55,1)-1,COUNTIFS($C$6:$C$55,C46,$D$6:$D$55,D46,$Q$6:$Q$55,1,$E$6:$E$55,E46)-1+COUNTIFS($C$6:$C$55,C46,$D$6:$D$55,D46,$Q$6:$Q$55,1,$E$6:$E$55,"Full day"))&gt;0,"CLASH","OK"))</f>
        <v/>
      </c>
      <c r="S46" s="11">
        <f>IF(OR(F46&lt;&gt;"Confirmed",N46=""),"",MAX(0,N46-O46))</f>
        <v/>
      </c>
      <c r="T46" s="8">
        <f>IF(F46="","",IF(R46="CLASH","Resolve clash today",IF(LEFT(I46,7)="EXPIRED","Release date or chase token",IF(AND(F46="Confirmed",S46&gt;0),"Collect advance shortfall",IF(F46="Cancelled","Run the cancellation sheet","")))))</f>
        <v/>
      </c>
    </row>
    <row r="47">
      <c r="A47" s="4" t="n"/>
      <c r="B47" s="4" t="n"/>
      <c r="C47" s="4" t="n"/>
      <c r="D47" s="5" t="n"/>
      <c r="E47" s="4" t="n"/>
      <c r="F47" s="4" t="n"/>
      <c r="G47" s="6" t="n"/>
      <c r="H47" s="7">
        <f>IF(AND(F47="Hold",G47&lt;&gt;""),G47+Settings!$B$5/24,"")</f>
        <v/>
      </c>
      <c r="I47" s="8">
        <f>IF(F47&lt;&gt;"Hold","",IF(G47="","Add hold time",IF(Settings!$B$7&gt;H47,"EXPIRED: release the date","Active")))</f>
        <v/>
      </c>
      <c r="J47" s="9" t="n"/>
      <c r="K47" s="10" t="n"/>
      <c r="L47" s="11">
        <f>IF(J47="","",ROUND(J47*K47,0))</f>
        <v/>
      </c>
      <c r="M47" s="11">
        <f>IF(J47="","",J47+L47)</f>
        <v/>
      </c>
      <c r="N47" s="11">
        <f>IF(M47="","",ROUND(M47*Settings!$B$6,0))</f>
        <v/>
      </c>
      <c r="O47" s="9" t="n"/>
      <c r="P47" s="11">
        <f>IF(OR(M47="",F47="Cancelled"),"",M47-O47)</f>
        <v/>
      </c>
      <c r="Q47" s="8">
        <f>IF(OR(F47="Hold",F47="Confirmed"),1,0)</f>
        <v/>
      </c>
      <c r="R47" s="8">
        <f>IF(Q47=0,"",IF(IF(E47="Full day",COUNTIFS($C$6:$C$55,C47,$D$6:$D$55,D47,$Q$6:$Q$55,1)-1,COUNTIFS($C$6:$C$55,C47,$D$6:$D$55,D47,$Q$6:$Q$55,1,$E$6:$E$55,E47)-1+COUNTIFS($C$6:$C$55,C47,$D$6:$D$55,D47,$Q$6:$Q$55,1,$E$6:$E$55,"Full day"))&gt;0,"CLASH","OK"))</f>
        <v/>
      </c>
      <c r="S47" s="11">
        <f>IF(OR(F47&lt;&gt;"Confirmed",N47=""),"",MAX(0,N47-O47))</f>
        <v/>
      </c>
      <c r="T47" s="8">
        <f>IF(F47="","",IF(R47="CLASH","Resolve clash today",IF(LEFT(I47,7)="EXPIRED","Release date or chase token",IF(AND(F47="Confirmed",S47&gt;0),"Collect advance shortfall",IF(F47="Cancelled","Run the cancellation sheet","")))))</f>
        <v/>
      </c>
    </row>
    <row r="48">
      <c r="A48" s="4" t="n"/>
      <c r="B48" s="4" t="n"/>
      <c r="C48" s="4" t="n"/>
      <c r="D48" s="5" t="n"/>
      <c r="E48" s="4" t="n"/>
      <c r="F48" s="4" t="n"/>
      <c r="G48" s="6" t="n"/>
      <c r="H48" s="7">
        <f>IF(AND(F48="Hold",G48&lt;&gt;""),G48+Settings!$B$5/24,"")</f>
        <v/>
      </c>
      <c r="I48" s="8">
        <f>IF(F48&lt;&gt;"Hold","",IF(G48="","Add hold time",IF(Settings!$B$7&gt;H48,"EXPIRED: release the date","Active")))</f>
        <v/>
      </c>
      <c r="J48" s="9" t="n"/>
      <c r="K48" s="10" t="n"/>
      <c r="L48" s="11">
        <f>IF(J48="","",ROUND(J48*K48,0))</f>
        <v/>
      </c>
      <c r="M48" s="11">
        <f>IF(J48="","",J48+L48)</f>
        <v/>
      </c>
      <c r="N48" s="11">
        <f>IF(M48="","",ROUND(M48*Settings!$B$6,0))</f>
        <v/>
      </c>
      <c r="O48" s="9" t="n"/>
      <c r="P48" s="11">
        <f>IF(OR(M48="",F48="Cancelled"),"",M48-O48)</f>
        <v/>
      </c>
      <c r="Q48" s="8">
        <f>IF(OR(F48="Hold",F48="Confirmed"),1,0)</f>
        <v/>
      </c>
      <c r="R48" s="8">
        <f>IF(Q48=0,"",IF(IF(E48="Full day",COUNTIFS($C$6:$C$55,C48,$D$6:$D$55,D48,$Q$6:$Q$55,1)-1,COUNTIFS($C$6:$C$55,C48,$D$6:$D$55,D48,$Q$6:$Q$55,1,$E$6:$E$55,E48)-1+COUNTIFS($C$6:$C$55,C48,$D$6:$D$55,D48,$Q$6:$Q$55,1,$E$6:$E$55,"Full day"))&gt;0,"CLASH","OK"))</f>
        <v/>
      </c>
      <c r="S48" s="11">
        <f>IF(OR(F48&lt;&gt;"Confirmed",N48=""),"",MAX(0,N48-O48))</f>
        <v/>
      </c>
      <c r="T48" s="8">
        <f>IF(F48="","",IF(R48="CLASH","Resolve clash today",IF(LEFT(I48,7)="EXPIRED","Release date or chase token",IF(AND(F48="Confirmed",S48&gt;0),"Collect advance shortfall",IF(F48="Cancelled","Run the cancellation sheet","")))))</f>
        <v/>
      </c>
    </row>
    <row r="49">
      <c r="A49" s="4" t="n"/>
      <c r="B49" s="4" t="n"/>
      <c r="C49" s="4" t="n"/>
      <c r="D49" s="5" t="n"/>
      <c r="E49" s="4" t="n"/>
      <c r="F49" s="4" t="n"/>
      <c r="G49" s="6" t="n"/>
      <c r="H49" s="7">
        <f>IF(AND(F49="Hold",G49&lt;&gt;""),G49+Settings!$B$5/24,"")</f>
        <v/>
      </c>
      <c r="I49" s="8">
        <f>IF(F49&lt;&gt;"Hold","",IF(G49="","Add hold time",IF(Settings!$B$7&gt;H49,"EXPIRED: release the date","Active")))</f>
        <v/>
      </c>
      <c r="J49" s="9" t="n"/>
      <c r="K49" s="10" t="n"/>
      <c r="L49" s="11">
        <f>IF(J49="","",ROUND(J49*K49,0))</f>
        <v/>
      </c>
      <c r="M49" s="11">
        <f>IF(J49="","",J49+L49)</f>
        <v/>
      </c>
      <c r="N49" s="11">
        <f>IF(M49="","",ROUND(M49*Settings!$B$6,0))</f>
        <v/>
      </c>
      <c r="O49" s="9" t="n"/>
      <c r="P49" s="11">
        <f>IF(OR(M49="",F49="Cancelled"),"",M49-O49)</f>
        <v/>
      </c>
      <c r="Q49" s="8">
        <f>IF(OR(F49="Hold",F49="Confirmed"),1,0)</f>
        <v/>
      </c>
      <c r="R49" s="8">
        <f>IF(Q49=0,"",IF(IF(E49="Full day",COUNTIFS($C$6:$C$55,C49,$D$6:$D$55,D49,$Q$6:$Q$55,1)-1,COUNTIFS($C$6:$C$55,C49,$D$6:$D$55,D49,$Q$6:$Q$55,1,$E$6:$E$55,E49)-1+COUNTIFS($C$6:$C$55,C49,$D$6:$D$55,D49,$Q$6:$Q$55,1,$E$6:$E$55,"Full day"))&gt;0,"CLASH","OK"))</f>
        <v/>
      </c>
      <c r="S49" s="11">
        <f>IF(OR(F49&lt;&gt;"Confirmed",N49=""),"",MAX(0,N49-O49))</f>
        <v/>
      </c>
      <c r="T49" s="8">
        <f>IF(F49="","",IF(R49="CLASH","Resolve clash today",IF(LEFT(I49,7)="EXPIRED","Release date or chase token",IF(AND(F49="Confirmed",S49&gt;0),"Collect advance shortfall",IF(F49="Cancelled","Run the cancellation sheet","")))))</f>
        <v/>
      </c>
    </row>
    <row r="50">
      <c r="A50" s="4" t="n"/>
      <c r="B50" s="4" t="n"/>
      <c r="C50" s="4" t="n"/>
      <c r="D50" s="5" t="n"/>
      <c r="E50" s="4" t="n"/>
      <c r="F50" s="4" t="n"/>
      <c r="G50" s="6" t="n"/>
      <c r="H50" s="7">
        <f>IF(AND(F50="Hold",G50&lt;&gt;""),G50+Settings!$B$5/24,"")</f>
        <v/>
      </c>
      <c r="I50" s="8">
        <f>IF(F50&lt;&gt;"Hold","",IF(G50="","Add hold time",IF(Settings!$B$7&gt;H50,"EXPIRED: release the date","Active")))</f>
        <v/>
      </c>
      <c r="J50" s="9" t="n"/>
      <c r="K50" s="10" t="n"/>
      <c r="L50" s="11">
        <f>IF(J50="","",ROUND(J50*K50,0))</f>
        <v/>
      </c>
      <c r="M50" s="11">
        <f>IF(J50="","",J50+L50)</f>
        <v/>
      </c>
      <c r="N50" s="11">
        <f>IF(M50="","",ROUND(M50*Settings!$B$6,0))</f>
        <v/>
      </c>
      <c r="O50" s="9" t="n"/>
      <c r="P50" s="11">
        <f>IF(OR(M50="",F50="Cancelled"),"",M50-O50)</f>
        <v/>
      </c>
      <c r="Q50" s="8">
        <f>IF(OR(F50="Hold",F50="Confirmed"),1,0)</f>
        <v/>
      </c>
      <c r="R50" s="8">
        <f>IF(Q50=0,"",IF(IF(E50="Full day",COUNTIFS($C$6:$C$55,C50,$D$6:$D$55,D50,$Q$6:$Q$55,1)-1,COUNTIFS($C$6:$C$55,C50,$D$6:$D$55,D50,$Q$6:$Q$55,1,$E$6:$E$55,E50)-1+COUNTIFS($C$6:$C$55,C50,$D$6:$D$55,D50,$Q$6:$Q$55,1,$E$6:$E$55,"Full day"))&gt;0,"CLASH","OK"))</f>
        <v/>
      </c>
      <c r="S50" s="11">
        <f>IF(OR(F50&lt;&gt;"Confirmed",N50=""),"",MAX(0,N50-O50))</f>
        <v/>
      </c>
      <c r="T50" s="8">
        <f>IF(F50="","",IF(R50="CLASH","Resolve clash today",IF(LEFT(I50,7)="EXPIRED","Release date or chase token",IF(AND(F50="Confirmed",S50&gt;0),"Collect advance shortfall",IF(F50="Cancelled","Run the cancellation sheet","")))))</f>
        <v/>
      </c>
    </row>
    <row r="51">
      <c r="A51" s="4" t="n"/>
      <c r="B51" s="4" t="n"/>
      <c r="C51" s="4" t="n"/>
      <c r="D51" s="5" t="n"/>
      <c r="E51" s="4" t="n"/>
      <c r="F51" s="4" t="n"/>
      <c r="G51" s="6" t="n"/>
      <c r="H51" s="7">
        <f>IF(AND(F51="Hold",G51&lt;&gt;""),G51+Settings!$B$5/24,"")</f>
        <v/>
      </c>
      <c r="I51" s="8">
        <f>IF(F51&lt;&gt;"Hold","",IF(G51="","Add hold time",IF(Settings!$B$7&gt;H51,"EXPIRED: release the date","Active")))</f>
        <v/>
      </c>
      <c r="J51" s="9" t="n"/>
      <c r="K51" s="10" t="n"/>
      <c r="L51" s="11">
        <f>IF(J51="","",ROUND(J51*K51,0))</f>
        <v/>
      </c>
      <c r="M51" s="11">
        <f>IF(J51="","",J51+L51)</f>
        <v/>
      </c>
      <c r="N51" s="11">
        <f>IF(M51="","",ROUND(M51*Settings!$B$6,0))</f>
        <v/>
      </c>
      <c r="O51" s="9" t="n"/>
      <c r="P51" s="11">
        <f>IF(OR(M51="",F51="Cancelled"),"",M51-O51)</f>
        <v/>
      </c>
      <c r="Q51" s="8">
        <f>IF(OR(F51="Hold",F51="Confirmed"),1,0)</f>
        <v/>
      </c>
      <c r="R51" s="8">
        <f>IF(Q51=0,"",IF(IF(E51="Full day",COUNTIFS($C$6:$C$55,C51,$D$6:$D$55,D51,$Q$6:$Q$55,1)-1,COUNTIFS($C$6:$C$55,C51,$D$6:$D$55,D51,$Q$6:$Q$55,1,$E$6:$E$55,E51)-1+COUNTIFS($C$6:$C$55,C51,$D$6:$D$55,D51,$Q$6:$Q$55,1,$E$6:$E$55,"Full day"))&gt;0,"CLASH","OK"))</f>
        <v/>
      </c>
      <c r="S51" s="11">
        <f>IF(OR(F51&lt;&gt;"Confirmed",N51=""),"",MAX(0,N51-O51))</f>
        <v/>
      </c>
      <c r="T51" s="8">
        <f>IF(F51="","",IF(R51="CLASH","Resolve clash today",IF(LEFT(I51,7)="EXPIRED","Release date or chase token",IF(AND(F51="Confirmed",S51&gt;0),"Collect advance shortfall",IF(F51="Cancelled","Run the cancellation sheet","")))))</f>
        <v/>
      </c>
    </row>
    <row r="52">
      <c r="A52" s="4" t="n"/>
      <c r="B52" s="4" t="n"/>
      <c r="C52" s="4" t="n"/>
      <c r="D52" s="5" t="n"/>
      <c r="E52" s="4" t="n"/>
      <c r="F52" s="4" t="n"/>
      <c r="G52" s="6" t="n"/>
      <c r="H52" s="7">
        <f>IF(AND(F52="Hold",G52&lt;&gt;""),G52+Settings!$B$5/24,"")</f>
        <v/>
      </c>
      <c r="I52" s="8">
        <f>IF(F52&lt;&gt;"Hold","",IF(G52="","Add hold time",IF(Settings!$B$7&gt;H52,"EXPIRED: release the date","Active")))</f>
        <v/>
      </c>
      <c r="J52" s="9" t="n"/>
      <c r="K52" s="10" t="n"/>
      <c r="L52" s="11">
        <f>IF(J52="","",ROUND(J52*K52,0))</f>
        <v/>
      </c>
      <c r="M52" s="11">
        <f>IF(J52="","",J52+L52)</f>
        <v/>
      </c>
      <c r="N52" s="11">
        <f>IF(M52="","",ROUND(M52*Settings!$B$6,0))</f>
        <v/>
      </c>
      <c r="O52" s="9" t="n"/>
      <c r="P52" s="11">
        <f>IF(OR(M52="",F52="Cancelled"),"",M52-O52)</f>
        <v/>
      </c>
      <c r="Q52" s="8">
        <f>IF(OR(F52="Hold",F52="Confirmed"),1,0)</f>
        <v/>
      </c>
      <c r="R52" s="8">
        <f>IF(Q52=0,"",IF(IF(E52="Full day",COUNTIFS($C$6:$C$55,C52,$D$6:$D$55,D52,$Q$6:$Q$55,1)-1,COUNTIFS($C$6:$C$55,C52,$D$6:$D$55,D52,$Q$6:$Q$55,1,$E$6:$E$55,E52)-1+COUNTIFS($C$6:$C$55,C52,$D$6:$D$55,D52,$Q$6:$Q$55,1,$E$6:$E$55,"Full day"))&gt;0,"CLASH","OK"))</f>
        <v/>
      </c>
      <c r="S52" s="11">
        <f>IF(OR(F52&lt;&gt;"Confirmed",N52=""),"",MAX(0,N52-O52))</f>
        <v/>
      </c>
      <c r="T52" s="8">
        <f>IF(F52="","",IF(R52="CLASH","Resolve clash today",IF(LEFT(I52,7)="EXPIRED","Release date or chase token",IF(AND(F52="Confirmed",S52&gt;0),"Collect advance shortfall",IF(F52="Cancelled","Run the cancellation sheet","")))))</f>
        <v/>
      </c>
    </row>
    <row r="53">
      <c r="A53" s="4" t="n"/>
      <c r="B53" s="4" t="n"/>
      <c r="C53" s="4" t="n"/>
      <c r="D53" s="5" t="n"/>
      <c r="E53" s="4" t="n"/>
      <c r="F53" s="4" t="n"/>
      <c r="G53" s="6" t="n"/>
      <c r="H53" s="7">
        <f>IF(AND(F53="Hold",G53&lt;&gt;""),G53+Settings!$B$5/24,"")</f>
        <v/>
      </c>
      <c r="I53" s="8">
        <f>IF(F53&lt;&gt;"Hold","",IF(G53="","Add hold time",IF(Settings!$B$7&gt;H53,"EXPIRED: release the date","Active")))</f>
        <v/>
      </c>
      <c r="J53" s="9" t="n"/>
      <c r="K53" s="10" t="n"/>
      <c r="L53" s="11">
        <f>IF(J53="","",ROUND(J53*K53,0))</f>
        <v/>
      </c>
      <c r="M53" s="11">
        <f>IF(J53="","",J53+L53)</f>
        <v/>
      </c>
      <c r="N53" s="11">
        <f>IF(M53="","",ROUND(M53*Settings!$B$6,0))</f>
        <v/>
      </c>
      <c r="O53" s="9" t="n"/>
      <c r="P53" s="11">
        <f>IF(OR(M53="",F53="Cancelled"),"",M53-O53)</f>
        <v/>
      </c>
      <c r="Q53" s="8">
        <f>IF(OR(F53="Hold",F53="Confirmed"),1,0)</f>
        <v/>
      </c>
      <c r="R53" s="8">
        <f>IF(Q53=0,"",IF(IF(E53="Full day",COUNTIFS($C$6:$C$55,C53,$D$6:$D$55,D53,$Q$6:$Q$55,1)-1,COUNTIFS($C$6:$C$55,C53,$D$6:$D$55,D53,$Q$6:$Q$55,1,$E$6:$E$55,E53)-1+COUNTIFS($C$6:$C$55,C53,$D$6:$D$55,D53,$Q$6:$Q$55,1,$E$6:$E$55,"Full day"))&gt;0,"CLASH","OK"))</f>
        <v/>
      </c>
      <c r="S53" s="11">
        <f>IF(OR(F53&lt;&gt;"Confirmed",N53=""),"",MAX(0,N53-O53))</f>
        <v/>
      </c>
      <c r="T53" s="8">
        <f>IF(F53="","",IF(R53="CLASH","Resolve clash today",IF(LEFT(I53,7)="EXPIRED","Release date or chase token",IF(AND(F53="Confirmed",S53&gt;0),"Collect advance shortfall",IF(F53="Cancelled","Run the cancellation sheet","")))))</f>
        <v/>
      </c>
    </row>
    <row r="54">
      <c r="A54" s="4" t="n"/>
      <c r="B54" s="4" t="n"/>
      <c r="C54" s="4" t="n"/>
      <c r="D54" s="5" t="n"/>
      <c r="E54" s="4" t="n"/>
      <c r="F54" s="4" t="n"/>
      <c r="G54" s="6" t="n"/>
      <c r="H54" s="7">
        <f>IF(AND(F54="Hold",G54&lt;&gt;""),G54+Settings!$B$5/24,"")</f>
        <v/>
      </c>
      <c r="I54" s="8">
        <f>IF(F54&lt;&gt;"Hold","",IF(G54="","Add hold time",IF(Settings!$B$7&gt;H54,"EXPIRED: release the date","Active")))</f>
        <v/>
      </c>
      <c r="J54" s="9" t="n"/>
      <c r="K54" s="10" t="n"/>
      <c r="L54" s="11">
        <f>IF(J54="","",ROUND(J54*K54,0))</f>
        <v/>
      </c>
      <c r="M54" s="11">
        <f>IF(J54="","",J54+L54)</f>
        <v/>
      </c>
      <c r="N54" s="11">
        <f>IF(M54="","",ROUND(M54*Settings!$B$6,0))</f>
        <v/>
      </c>
      <c r="O54" s="9" t="n"/>
      <c r="P54" s="11">
        <f>IF(OR(M54="",F54="Cancelled"),"",M54-O54)</f>
        <v/>
      </c>
      <c r="Q54" s="8">
        <f>IF(OR(F54="Hold",F54="Confirmed"),1,0)</f>
        <v/>
      </c>
      <c r="R54" s="8">
        <f>IF(Q54=0,"",IF(IF(E54="Full day",COUNTIFS($C$6:$C$55,C54,$D$6:$D$55,D54,$Q$6:$Q$55,1)-1,COUNTIFS($C$6:$C$55,C54,$D$6:$D$55,D54,$Q$6:$Q$55,1,$E$6:$E$55,E54)-1+COUNTIFS($C$6:$C$55,C54,$D$6:$D$55,D54,$Q$6:$Q$55,1,$E$6:$E$55,"Full day"))&gt;0,"CLASH","OK"))</f>
        <v/>
      </c>
      <c r="S54" s="11">
        <f>IF(OR(F54&lt;&gt;"Confirmed",N54=""),"",MAX(0,N54-O54))</f>
        <v/>
      </c>
      <c r="T54" s="8">
        <f>IF(F54="","",IF(R54="CLASH","Resolve clash today",IF(LEFT(I54,7)="EXPIRED","Release date or chase token",IF(AND(F54="Confirmed",S54&gt;0),"Collect advance shortfall",IF(F54="Cancelled","Run the cancellation sheet","")))))</f>
        <v/>
      </c>
    </row>
    <row r="55">
      <c r="A55" s="4" t="n"/>
      <c r="B55" s="4" t="n"/>
      <c r="C55" s="4" t="n"/>
      <c r="D55" s="5" t="n"/>
      <c r="E55" s="4" t="n"/>
      <c r="F55" s="4" t="n"/>
      <c r="G55" s="6" t="n"/>
      <c r="H55" s="7">
        <f>IF(AND(F55="Hold",G55&lt;&gt;""),G55+Settings!$B$5/24,"")</f>
        <v/>
      </c>
      <c r="I55" s="8">
        <f>IF(F55&lt;&gt;"Hold","",IF(G55="","Add hold time",IF(Settings!$B$7&gt;H55,"EXPIRED: release the date","Active")))</f>
        <v/>
      </c>
      <c r="J55" s="9" t="n"/>
      <c r="K55" s="10" t="n"/>
      <c r="L55" s="11">
        <f>IF(J55="","",ROUND(J55*K55,0))</f>
        <v/>
      </c>
      <c r="M55" s="11">
        <f>IF(J55="","",J55+L55)</f>
        <v/>
      </c>
      <c r="N55" s="11">
        <f>IF(M55="","",ROUND(M55*Settings!$B$6,0))</f>
        <v/>
      </c>
      <c r="O55" s="9" t="n"/>
      <c r="P55" s="11">
        <f>IF(OR(M55="",F55="Cancelled"),"",M55-O55)</f>
        <v/>
      </c>
      <c r="Q55" s="8">
        <f>IF(OR(F55="Hold",F55="Confirmed"),1,0)</f>
        <v/>
      </c>
      <c r="R55" s="8">
        <f>IF(Q55=0,"",IF(IF(E55="Full day",COUNTIFS($C$6:$C$55,C55,$D$6:$D$55,D55,$Q$6:$Q$55,1)-1,COUNTIFS($C$6:$C$55,C55,$D$6:$D$55,D55,$Q$6:$Q$55,1,$E$6:$E$55,E55)-1+COUNTIFS($C$6:$C$55,C55,$D$6:$D$55,D55,$Q$6:$Q$55,1,$E$6:$E$55,"Full day"))&gt;0,"CLASH","OK"))</f>
        <v/>
      </c>
      <c r="S55" s="11">
        <f>IF(OR(F55&lt;&gt;"Confirmed",N55=""),"",MAX(0,N55-O55))</f>
        <v/>
      </c>
      <c r="T55" s="8">
        <f>IF(F55="","",IF(R55="CLASH","Resolve clash today",IF(LEFT(I55,7)="EXPIRED","Release date or chase token",IF(AND(F55="Confirmed",S55&gt;0),"Collect advance shortfall",IF(F55="Cancelled","Run the cancellation sheet","")))))</f>
        <v/>
      </c>
    </row>
  </sheetData>
  <autoFilter ref="A5:T55"/>
  <mergeCells count="1">
    <mergeCell ref="A2:T2"/>
  </mergeCells>
  <dataValidations count="3">
    <dataValidation sqref="F6:F55" showDropDown="0" showInputMessage="0" showErrorMessage="0" allowBlank="0" type="list">
      <formula1>"Enquiry,Hold,Confirmed,Cancelled"</formula1>
    </dataValidation>
    <dataValidation sqref="E6:E55" showDropDown="0" showInputMessage="0" showErrorMessage="0" allowBlank="0" type="list">
      <formula1>"Morning,Evening,Full day"</formula1>
    </dataValidation>
    <dataValidation sqref="K6:K55" showDropDown="0" showInputMessage="0" showErrorMessage="0" allowBlank="0" type="list">
      <formula1>"0.05,0.18"</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4" customWidth="1" min="1" max="1"/>
    <col width="24" customWidth="1" min="2" max="2"/>
    <col width="80" customWidth="1" min="3" max="3"/>
  </cols>
  <sheetData>
    <row r="1">
      <c r="A1" s="1" t="inlineStr">
        <is>
          <t>SETTINGS</t>
        </is>
      </c>
    </row>
    <row r="2">
      <c r="A2" s="2" t="inlineStr">
        <is>
          <t>Change the yellow cells. Everything else in the workbook reads from here.</t>
        </is>
      </c>
    </row>
    <row r="4">
      <c r="A4" s="3" t="inlineStr">
        <is>
          <t>Setting</t>
        </is>
      </c>
      <c r="B4" s="3" t="inlineStr">
        <is>
          <t>Value</t>
        </is>
      </c>
      <c r="C4" s="3" t="inlineStr">
        <is>
          <t>Note</t>
        </is>
      </c>
    </row>
    <row r="5">
      <c r="A5" s="8" t="inlineStr">
        <is>
          <t>Hold length (hours)</t>
        </is>
      </c>
      <c r="B5" s="4" t="n">
        <v>48</v>
      </c>
      <c r="C5" s="12" t="inlineStr">
        <is>
          <t>How long a tentative hold lasts before the date goes back on sale.</t>
        </is>
      </c>
    </row>
    <row r="6">
      <c r="A6" s="8" t="inlineStr">
        <is>
          <t>Advance token (% of total including GST)</t>
        </is>
      </c>
      <c r="B6" s="10" t="n">
        <v>0.3</v>
      </c>
      <c r="C6" s="12" t="inlineStr">
        <is>
          <t>A common booking token. Change to your own policy.</t>
        </is>
      </c>
    </row>
    <row r="7">
      <c r="A7" s="8" t="inlineStr">
        <is>
          <t>Check time</t>
        </is>
      </c>
      <c r="B7" s="13" t="n">
        <v>46397.45833333334</v>
      </c>
      <c r="C7" s="12" t="inlineStr">
        <is>
          <t>Type =NOW() here to make hold expiry live. A fixed time is used so the sample rows stay predictable.</t>
        </is>
      </c>
    </row>
    <row r="8">
      <c r="A8" s="8" t="inlineStr">
        <is>
          <t>Halls</t>
        </is>
      </c>
      <c r="B8" s="4" t="inlineStr">
        <is>
          <t>Hall A, Hall B, Lawn</t>
        </is>
      </c>
      <c r="C8" s="12" t="inlineStr">
        <is>
          <t>Edit the hall names on the Register sheet; this cell is a reminder only.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2" customWidth="1" min="1" max="1"/>
    <col width="18" customWidth="1" min="2" max="2"/>
  </cols>
  <sheetData>
    <row r="1">
      <c r="A1" s="1" t="inlineStr">
        <is>
          <t>DASHBOARD</t>
        </is>
      </c>
    </row>
    <row r="2">
      <c r="A2" s="2" t="inlineStr">
        <is>
          <t>Reads the Register. Nothing to type here.</t>
        </is>
      </c>
    </row>
    <row r="4">
      <c r="A4" s="8" t="inlineStr">
        <is>
          <t>Confirmed bookings</t>
        </is>
      </c>
      <c r="B4" s="14">
        <f>COUNTIF(Register!F6:F55,"Confirmed")</f>
        <v/>
      </c>
    </row>
    <row r="5">
      <c r="A5" s="8" t="inlineStr">
        <is>
          <t>Active holds</t>
        </is>
      </c>
      <c r="B5" s="14">
        <f>COUNTIF(Register!I6:I55,"Active")</f>
        <v/>
      </c>
    </row>
    <row r="6">
      <c r="A6" s="8" t="inlineStr">
        <is>
          <t>Expired holds to release</t>
        </is>
      </c>
      <c r="B6" s="14">
        <f>COUNTIF(Register!I6:I55,"EXPIRED*")</f>
        <v/>
      </c>
    </row>
    <row r="7">
      <c r="A7" s="8" t="inlineStr">
        <is>
          <t>Clashes to resolve</t>
        </is>
      </c>
      <c r="B7" s="14">
        <f>COUNTIF(Register!R6:R55,"CLASH")</f>
        <v/>
      </c>
    </row>
    <row r="8">
      <c r="A8" s="8" t="inlineStr">
        <is>
          <t>Total value of confirmed bookings (incl. GST)</t>
        </is>
      </c>
      <c r="B8" s="14">
        <f>SUMIFS(Register!M6:M55,Register!F6:F55,"Confirmed")</f>
        <v/>
      </c>
    </row>
    <row r="9">
      <c r="A9" s="8" t="inlineStr">
        <is>
          <t>Advance received on confirmed bookings</t>
        </is>
      </c>
      <c r="B9" s="14">
        <f>SUMIFS(Register!O6:O55,Register!F6:F55,"Confirmed")</f>
        <v/>
      </c>
    </row>
    <row r="10">
      <c r="A10" s="8" t="inlineStr">
        <is>
          <t>Advance shortfall against your token policy</t>
        </is>
      </c>
      <c r="B10" s="14">
        <f>SUM(Register!S6:S55)</f>
        <v/>
      </c>
    </row>
    <row r="11">
      <c r="A11" s="8" t="inlineStr">
        <is>
          <t>Balance still to collect on confirmed bookings</t>
        </is>
      </c>
      <c r="B11" s="14">
        <f>SUMIFS(Register!P6:P55,Register!F6:F55,"Confirmed")</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52" customWidth="1" min="1" max="1"/>
    <col width="20" customWidth="1" min="2" max="2"/>
    <col width="40" customWidth="1" min="3" max="3"/>
  </cols>
  <sheetData>
    <row r="1">
      <c r="A1" s="1" t="inlineStr">
        <is>
          <t>CANCELLATION AND REFUND CALCULATOR</t>
        </is>
      </c>
    </row>
    <row r="2" ht="48" customHeight="1">
      <c r="A2" s="2" t="inlineStr">
        <is>
          <t>A retained amount has to be a reasonable estimate of loss (Section 74, Indian Contract Act). Fill the ladder with your own policy, then use the loss cap when you can show the date could not be resold. Illustrative only, not legal advice.</t>
        </is>
      </c>
    </row>
    <row r="4">
      <c r="A4" s="3" t="inlineStr">
        <is>
          <t>Days before event (from)</t>
        </is>
      </c>
      <c r="B4" s="3" t="inlineStr">
        <is>
          <t>Share of package value retained</t>
        </is>
      </c>
      <c r="C4" s="3" t="inlineStr">
        <is>
          <t>Example wording</t>
        </is>
      </c>
    </row>
    <row r="5">
      <c r="A5" s="4" t="n">
        <v>0</v>
      </c>
      <c r="B5" s="10" t="n">
        <v>0.75</v>
      </c>
      <c r="C5" s="8" t="inlineStr">
        <is>
          <t>Under 30 days</t>
        </is>
      </c>
    </row>
    <row r="6">
      <c r="A6" s="4" t="n">
        <v>30</v>
      </c>
      <c r="B6" s="10" t="n">
        <v>0.5</v>
      </c>
      <c r="C6" s="8" t="inlineStr">
        <is>
          <t>30 to 59 days</t>
        </is>
      </c>
    </row>
    <row r="7">
      <c r="A7" s="4" t="n">
        <v>60</v>
      </c>
      <c r="B7" s="10" t="n">
        <v>0.25</v>
      </c>
      <c r="C7" s="8" t="inlineStr">
        <is>
          <t>60 to 89 days</t>
        </is>
      </c>
    </row>
    <row r="8">
      <c r="A8" s="4" t="n">
        <v>90</v>
      </c>
      <c r="B8" s="10" t="n">
        <v>0.1</v>
      </c>
      <c r="C8" s="8" t="inlineStr">
        <is>
          <t>90 days or more</t>
        </is>
      </c>
    </row>
    <row r="11">
      <c r="A11" s="15" t="inlineStr">
        <is>
          <t>Inputs</t>
        </is>
      </c>
    </row>
    <row r="12">
      <c r="A12" s="8" t="inlineStr">
        <is>
          <t>Total package value incl. GST (INR)</t>
        </is>
      </c>
      <c r="B12" s="9" t="n">
        <v>630000</v>
      </c>
    </row>
    <row r="13">
      <c r="A13" s="8" t="inlineStr">
        <is>
          <t>Advance received (INR)</t>
        </is>
      </c>
      <c r="B13" s="9" t="n">
        <v>189000</v>
      </c>
    </row>
    <row r="14">
      <c r="A14" s="8" t="inlineStr">
        <is>
          <t>Event date</t>
        </is>
      </c>
      <c r="B14" s="5" t="n">
        <v>46431</v>
      </c>
    </row>
    <row r="15">
      <c r="A15" s="8" t="inlineStr">
        <is>
          <t>Date the client cancelled</t>
        </is>
      </c>
      <c r="B15" s="5" t="n">
        <v>46392</v>
      </c>
    </row>
    <row r="16">
      <c r="A16" s="8" t="inlineStr">
        <is>
          <t>Loss cap you can evidence (INR, leave blank if none)</t>
        </is>
      </c>
      <c r="B16" s="9" t="n"/>
    </row>
    <row r="18">
      <c r="A18" s="15" t="inlineStr">
        <is>
          <t>Results</t>
        </is>
      </c>
    </row>
    <row r="19">
      <c r="A19" s="8" t="inlineStr">
        <is>
          <t>Days before event</t>
        </is>
      </c>
      <c r="B19" s="14">
        <f>B14-B15</f>
        <v/>
      </c>
    </row>
    <row r="20">
      <c r="A20" s="8" t="inlineStr">
        <is>
          <t>Ladder share retained</t>
        </is>
      </c>
      <c r="B20" s="16">
        <f>VLOOKUP(B19,A5:B8,2,TRUE)</f>
        <v/>
      </c>
    </row>
    <row r="21">
      <c r="A21" s="8" t="inlineStr">
        <is>
          <t>Retained by the ladder</t>
        </is>
      </c>
      <c r="B21" s="14">
        <f>ROUND(B12*B20,0)</f>
        <v/>
      </c>
    </row>
    <row r="22">
      <c r="A22" s="8" t="inlineStr">
        <is>
          <t>Retained after loss cap</t>
        </is>
      </c>
      <c r="B22" s="14">
        <f>IF(B16="",B21,MIN(B21,B16))</f>
        <v/>
      </c>
    </row>
    <row r="23">
      <c r="A23" s="8" t="inlineStr">
        <is>
          <t>Refund to client</t>
        </is>
      </c>
      <c r="B23" s="14">
        <f>MAX(0,B13-B22)</f>
        <v/>
      </c>
    </row>
    <row r="24">
      <c r="A24" s="8" t="inlineStr">
        <is>
          <t>Still owed by client</t>
        </is>
      </c>
      <c r="B24" s="14">
        <f>MAX(0,B22-B13)</f>
        <v/>
      </c>
    </row>
    <row r="26" ht="45" customHeight="1">
      <c r="A26" s="12" t="inlineStr">
        <is>
          <t>GST on a retained charge is not settled everywhere. Record your CA's written advice on whether you issue a credit note for the full advance and a fresh invoice for the retained portion.</t>
        </is>
      </c>
    </row>
  </sheetData>
  <mergeCells count="2">
    <mergeCell ref="A2:F2"/>
    <mergeCell ref="A26:C2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2026-09-24T19:53:38Z</dcterms:created>
  <dcterms:modified xmlns:dcterms="http://purl.org/dc/terms/" xmlns:xsi="http://www.w3.org/2001/XMLSchema-instance" xsi:type="dcterms:W3CDTF">2026-09-24T19:53:38Z</dcterms:modified>
</cp:coreProperties>
</file>