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tings" sheetId="2" state="visible" r:id="rId2"/>
    <sheet xmlns:r="http://schemas.openxmlformats.org/officeDocument/2006/relationships" name="Bookings" sheetId="3" state="visible" r:id="rId3"/>
    <sheet xmlns:r="http://schemas.openxmlformats.org/officeDocument/2006/relationships" name="Utilisation" sheetId="4" state="visible" r:id="rId4"/>
    <sheet xmlns:r="http://schemas.openxmlformats.org/officeDocument/2006/relationships" name="Balance ageing" sheetId="5" state="visible" r:id="rId5"/>
    <sheet xmlns:r="http://schemas.openxmlformats.org/officeDocument/2006/relationships" name="Cancellation"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
    <numFmt numFmtId="167" formatCode="0.0%"/>
  </numFmts>
  <fonts count="5">
    <font>
      <name val="Calibri"/>
      <family val="2"/>
      <color theme="1"/>
      <sz val="11"/>
      <scheme val="minor"/>
    </font>
    <font>
      <b val="1"/>
      <color rgb="001E3A8A"/>
      <sz val="14"/>
    </font>
    <font>
      <i val="1"/>
      <color rgb="00475569"/>
    </font>
    <font>
      <b val="1"/>
      <color rgb="00FFFFFF"/>
    </font>
    <font>
      <b val="1"/>
    </font>
  </fonts>
  <fills count="5">
    <fill>
      <patternFill/>
    </fill>
    <fill>
      <patternFill patternType="gray125"/>
    </fill>
    <fill>
      <patternFill patternType="solid">
        <fgColor rgb="00FFF7CC"/>
      </patternFill>
    </fill>
    <fill>
      <patternFill patternType="solid">
        <fgColor rgb="001E3A8A"/>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165" fontId="0" fillId="2" borderId="1" pivotButton="0" quotePrefix="0" xfId="0"/>
    <xf numFmtId="1" fontId="0" fillId="2" borderId="1" pivotButton="0" quotePrefix="0" xfId="0"/>
    <xf numFmtId="9" fontId="0" fillId="2" borderId="1" pivotButton="0" quotePrefix="0" xfId="0"/>
    <xf numFmtId="0" fontId="3" fillId="3" borderId="1" applyAlignment="1" pivotButton="0" quotePrefix="0" xfId="0">
      <alignment vertical="center" wrapText="1"/>
    </xf>
    <xf numFmtId="0" fontId="0" fillId="2" borderId="1" pivotButton="0" quotePrefix="0" xfId="0"/>
    <xf numFmtId="165" fontId="0" fillId="4" borderId="1" pivotButton="0" quotePrefix="0" xfId="0"/>
    <xf numFmtId="166" fontId="0" fillId="2" borderId="1" pivotButton="0" quotePrefix="0" xfId="0"/>
    <xf numFmtId="167" fontId="0" fillId="4" borderId="1" pivotButton="0" quotePrefix="0" xfId="0"/>
    <xf numFmtId="166" fontId="0" fillId="4" borderId="1" pivotButton="0" quotePrefix="0" xfId="0"/>
    <xf numFmtId="1" fontId="0" fillId="4" borderId="1" pivotButton="0" quotePrefix="0" xfId="0"/>
    <xf numFmtId="0" fontId="0" fillId="4" borderId="1" pivotButton="0" quotePrefix="0" xfId="0"/>
    <xf numFmtId="0" fontId="4" fillId="0" borderId="0" pivotButton="0" quotePrefix="0" xfId="0"/>
    <xf numFmtId="1" fontId="4" fillId="4" borderId="1" pivotButton="0" quotePrefix="0" xfId="0"/>
    <xf numFmtId="167" fontId="4" fillId="4" borderId="1" pivotButton="0" quotePrefix="0" xfId="0"/>
    <xf numFmtId="166" fontId="4" fillId="4" borderId="1" pivotButton="0" quotePrefix="0" xfId="0"/>
    <xf numFmtId="0" fontId="0" fillId="0" borderId="0" applyAlignment="1" pivotButton="0" quotePrefix="0" xfId="0">
      <alignment wrapText="1"/>
    </xf>
    <xf numFmtId="9" fontId="0" fillId="4" borderId="1"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1" t="inlineStr">
        <is>
          <t>How to use this workbook</t>
        </is>
      </c>
    </row>
    <row r="3" ht="45" customHeight="1">
      <c r="A3" s="2" t="inlineStr">
        <is>
          <t>What this is: a back-office booking workbook for a venue with one or more halls that sell a morning and an evening slot. It tracks holds, advances and balances, shows how full each hall is, and calculates what to retain when a client cancels.</t>
        </is>
      </c>
    </row>
    <row r="4" ht="30" customHeight="1">
      <c r="A4" s="2" t="inlineStr">
        <is>
          <t>1. "Settings": type the report date (the day you are looking at the sheet; it is not linked to the clock so results do not change under you), the hold length, the minimum advance and your hall names.</t>
        </is>
      </c>
    </row>
    <row r="5" ht="30" customHeight="1">
      <c r="A5" s="2" t="inlineStr">
        <is>
          <t>2. "Bookings": one row per booking. Yellow cells are inputs. The hold expiry, advance %, balance, days to event, action flag and slot counts are worked out. Replace the 22 SAMPLE bookings (invented for illustration).</t>
        </is>
      </c>
    </row>
    <row r="6" ht="30" customHeight="1">
      <c r="A6" s="2" t="inlineStr">
        <is>
          <t>3. "Utilisation": for each hall and month, slots sold against slots available, and booked value per available slot. A full day booking uses two slots.</t>
        </is>
      </c>
    </row>
    <row r="7" ht="18" customHeight="1">
      <c r="A7" s="2" t="inlineStr">
        <is>
          <t>4. "Balance ageing": how much of the balance due sits overdue or falls due soon.</t>
        </is>
      </c>
    </row>
    <row r="8" ht="30" customHeight="1">
      <c r="A8" s="2" t="inlineStr">
        <is>
          <t>5. "Cancellation": pick a booking, enter the cancellation date, and see the retained amount and the refund under YOUR ladder. The ladder is an example, not a rule.</t>
        </is>
      </c>
    </row>
    <row r="9" ht="60" customHeight="1">
      <c r="A9" s="2" t="inlineStr">
        <is>
          <t>Legal note: in India, a clause that lets a venue keep a client's advance is tested against Section 74 of the Indian Contract Act, 1872. Courts allow reasonable compensation for the loss caused by the breach, up to the amount named in the contract, so a ladder should track the real chance of re-selling the date. Ask your lawyer to review the wording before you use it.</t>
        </is>
      </c>
    </row>
    <row r="10" ht="18" customHeight="1">
      <c r="A10" s="2" t="inlineStr">
        <is>
          <t>Sample data is illustrative only. It is not a benchmark for any venue.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44" customWidth="1" min="1" max="1"/>
    <col width="16" customWidth="1" min="2" max="2"/>
    <col width="22" customWidth="1" min="3" max="3"/>
    <col width="10" customWidth="1" min="4" max="4"/>
    <col width="10" customWidth="1" min="5" max="5"/>
    <col width="10" customWidth="1" min="6" max="6"/>
  </cols>
  <sheetData>
    <row r="1">
      <c r="A1" s="1" t="inlineStr">
        <is>
          <t>Settings</t>
        </is>
      </c>
    </row>
    <row r="2" ht="48" customHeight="1">
      <c r="A2" s="3" t="inlineStr">
        <is>
          <t>Yellow cells are yours to change.</t>
        </is>
      </c>
    </row>
    <row r="4">
      <c r="A4" t="inlineStr">
        <is>
          <t>Report date</t>
        </is>
      </c>
      <c r="B4" s="4" t="n">
        <v>46315</v>
      </c>
    </row>
    <row r="5">
      <c r="A5" t="inlineStr">
        <is>
          <t>Tentative hold length (days)</t>
        </is>
      </c>
      <c r="B5" s="5" t="n">
        <v>2</v>
      </c>
      <c r="C5" t="inlineStr">
        <is>
          <t>2 days = 48 hours</t>
        </is>
      </c>
    </row>
    <row r="6">
      <c r="A6" t="inlineStr">
        <is>
          <t>Minimum advance to confirm (share of total)</t>
        </is>
      </c>
      <c r="B6" s="6" t="n">
        <v>0.3</v>
      </c>
    </row>
    <row r="7">
      <c r="A7" t="inlineStr">
        <is>
          <t>Slots a hall sells per day</t>
        </is>
      </c>
      <c r="B7" s="5" t="n">
        <v>2</v>
      </c>
      <c r="C7" t="inlineStr">
        <is>
          <t>Morning and evening</t>
        </is>
      </c>
    </row>
    <row r="9" ht="34" customHeight="1">
      <c r="A9" s="7" t="inlineStr">
        <is>
          <t>Hall names</t>
        </is>
      </c>
    </row>
    <row r="10">
      <c r="A10" s="8" t="inlineStr">
        <is>
          <t>Grand Hall</t>
        </is>
      </c>
    </row>
    <row r="11">
      <c r="A11" s="8" t="inlineStr">
        <is>
          <t>Garden Lawn</t>
        </is>
      </c>
    </row>
    <row r="12">
      <c r="A12" s="8" t="inlineStr">
        <is>
          <t>Mini Hall</t>
        </is>
      </c>
    </row>
    <row r="15" ht="34" customHeight="1">
      <c r="A15" s="7" t="inlineStr">
        <is>
          <t>Month key (YYYYMM)</t>
        </is>
      </c>
      <c r="B15" s="7" t="inlineStr">
        <is>
          <t>Label</t>
        </is>
      </c>
      <c r="C15" s="7" t="inlineStr">
        <is>
          <t>Days in month</t>
        </is>
      </c>
    </row>
    <row r="16">
      <c r="A16" s="8" t="n">
        <v>202611</v>
      </c>
      <c r="B16" s="8" t="inlineStr">
        <is>
          <t>Nov 2026</t>
        </is>
      </c>
      <c r="C16" s="8" t="n">
        <v>30</v>
      </c>
    </row>
    <row r="17">
      <c r="A17" s="8" t="n">
        <v>202612</v>
      </c>
      <c r="B17" s="8" t="inlineStr">
        <is>
          <t>Dec 2026</t>
        </is>
      </c>
      <c r="C17" s="8" t="n">
        <v>31</v>
      </c>
    </row>
    <row r="18">
      <c r="A18" s="8" t="n">
        <v>202701</v>
      </c>
      <c r="B18" s="8" t="inlineStr">
        <is>
          <t>Jan 2027</t>
        </is>
      </c>
      <c r="C18" s="8" t="n">
        <v>31</v>
      </c>
    </row>
    <row r="19">
      <c r="A19" s="8" t="n">
        <v>202702</v>
      </c>
      <c r="B19" s="8" t="inlineStr">
        <is>
          <t>Feb 2027</t>
        </is>
      </c>
      <c r="C19" s="8" t="n">
        <v>28</v>
      </c>
    </row>
  </sheetData>
  <mergeCells count="1">
    <mergeCell ref="A2:F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14" customWidth="1" min="2" max="2"/>
    <col width="13" customWidth="1" min="3" max="3"/>
    <col width="10" customWidth="1" min="4" max="4"/>
    <col width="12" customWidth="1" min="5" max="5"/>
    <col width="13" customWidth="1" min="6" max="6"/>
    <col width="13" customWidth="1" min="7" max="7"/>
    <col width="15" customWidth="1" min="8" max="8"/>
    <col width="17" customWidth="1" min="9" max="9"/>
    <col width="10" customWidth="1" min="10" max="10"/>
    <col width="15" customWidth="1" min="11" max="11"/>
    <col width="10" customWidth="1" min="12" max="12"/>
    <col width="28" customWidth="1" min="13" max="13"/>
    <col width="10" customWidth="1" min="14" max="14"/>
    <col width="9" customWidth="1" min="15" max="15"/>
    <col width="15" customWidth="1" min="16" max="16"/>
    <col width="15" customWidth="1" min="17" max="17"/>
  </cols>
  <sheetData>
    <row r="1">
      <c r="A1" s="1" t="inlineStr">
        <is>
          <t>Bookings</t>
        </is>
      </c>
    </row>
    <row r="2" ht="48" customHeight="1">
      <c r="A2" s="3" t="inlineStr">
        <is>
          <t>Yellow = type. Green = worked out. Rows 6 to 105 are live. SAMPLE rows are invented.</t>
        </is>
      </c>
    </row>
    <row r="5" ht="34" customHeight="1">
      <c r="A5" s="7" t="inlineStr">
        <is>
          <t>Booking ID</t>
        </is>
      </c>
      <c r="B5" s="7" t="inlineStr">
        <is>
          <t>Hall</t>
        </is>
      </c>
      <c r="C5" s="7" t="inlineStr">
        <is>
          <t>Event date</t>
        </is>
      </c>
      <c r="D5" s="7" t="inlineStr">
        <is>
          <t>Slot</t>
        </is>
      </c>
      <c r="E5" s="7" t="inlineStr">
        <is>
          <t>Status</t>
        </is>
      </c>
      <c r="F5" s="7" t="inlineStr">
        <is>
          <t>Hold created</t>
        </is>
      </c>
      <c r="G5" s="7" t="inlineStr">
        <is>
          <t>Hold expires</t>
        </is>
      </c>
      <c r="H5" s="7" t="inlineStr">
        <is>
          <t>Total value (INR)</t>
        </is>
      </c>
      <c r="I5" s="7" t="inlineStr">
        <is>
          <t>Advance received (INR)</t>
        </is>
      </c>
      <c r="J5" s="7" t="inlineStr">
        <is>
          <t>Advance %</t>
        </is>
      </c>
      <c r="K5" s="7" t="inlineStr">
        <is>
          <t>Balance due (INR)</t>
        </is>
      </c>
      <c r="L5" s="7" t="inlineStr">
        <is>
          <t>Days to event</t>
        </is>
      </c>
      <c r="M5" s="7" t="inlineStr">
        <is>
          <t>Action flag</t>
        </is>
      </c>
      <c r="N5" s="7" t="inlineStr">
        <is>
          <t>Month key</t>
        </is>
      </c>
      <c r="O5" s="7" t="inlineStr">
        <is>
          <t>Slots used</t>
        </is>
      </c>
      <c r="P5" s="7" t="inlineStr">
        <is>
          <t>Value counted (INR)</t>
        </is>
      </c>
      <c r="Q5" s="7" t="inlineStr">
        <is>
          <t>Balance counted (INR)</t>
        </is>
      </c>
    </row>
    <row r="6">
      <c r="A6" s="8" t="inlineStr">
        <is>
          <t>B-001</t>
        </is>
      </c>
      <c r="B6" s="8" t="inlineStr">
        <is>
          <t>Grand Hall</t>
        </is>
      </c>
      <c r="C6" s="4" t="n">
        <v>46334</v>
      </c>
      <c r="D6" s="8" t="inlineStr">
        <is>
          <t>Evening</t>
        </is>
      </c>
      <c r="E6" s="8" t="inlineStr">
        <is>
          <t>Confirmed</t>
        </is>
      </c>
      <c r="F6" s="4" t="n">
        <v>46254</v>
      </c>
      <c r="G6" s="9">
        <f>IF(AND(A6&lt;&gt;"",E6="Tentative"),F6+Settings!$B$5,"")</f>
        <v/>
      </c>
      <c r="H6" s="10" t="n">
        <v>620000</v>
      </c>
      <c r="I6" s="10" t="n">
        <v>200000</v>
      </c>
      <c r="J6" s="11">
        <f>IF(OR(A6="",H6=""),"",IF(H6=0,"",I6/H6))</f>
        <v/>
      </c>
      <c r="K6" s="12">
        <f>IF(OR(A6="",E6="Cancelled"),"",H6-I6)</f>
        <v/>
      </c>
      <c r="L6" s="13">
        <f>IF(OR(A6="",C6=""),"",C6-Settings!$B$4)</f>
        <v/>
      </c>
      <c r="M6" s="14">
        <f>IF(A6="","",IF(E6="Tentative",IF(G6&lt;Settings!$B$4,"Release hold or chase",IF(G6=Settings!$B$4,"Hold expires today","Hold running")),IF(E6="Cancelled","Closed",IF(J6&lt;Settings!$B$6,IF(E6="Completed","Check advance","Advance below minimum"),IF(AND(K6&gt;0,L6&lt;0),"Overdue balance",IF(AND(K6&gt;0,L6&lt;=15),"Balance due within 15 days","OK"))))))</f>
        <v/>
      </c>
      <c r="N6" s="13">
        <f>IF(C6="","",YEAR(C6)*100+MONTH(C6))</f>
        <v/>
      </c>
      <c r="O6" s="13">
        <f>IF(A6="",0,IF(OR(E6="Confirmed",E6="Completed"),IF(D6="Full day",Settings!$B$7,1),0))</f>
        <v/>
      </c>
      <c r="P6" s="12">
        <f>IF(O6&gt;0,H6,0)</f>
        <v/>
      </c>
      <c r="Q6" s="12">
        <f>IF(OR(E6="Confirmed",E6="Completed"),N(K6),0)</f>
        <v/>
      </c>
    </row>
    <row r="7">
      <c r="A7" s="8" t="inlineStr">
        <is>
          <t>B-002</t>
        </is>
      </c>
      <c r="B7" s="8" t="inlineStr">
        <is>
          <t>Grand Hall</t>
        </is>
      </c>
      <c r="C7" s="4" t="n">
        <v>46335</v>
      </c>
      <c r="D7" s="8" t="inlineStr">
        <is>
          <t>Morning</t>
        </is>
      </c>
      <c r="E7" s="8" t="inlineStr">
        <is>
          <t>Confirmed</t>
        </is>
      </c>
      <c r="F7" s="4" t="n">
        <v>46254</v>
      </c>
      <c r="G7" s="9">
        <f>IF(AND(A7&lt;&gt;"",E7="Tentative"),F7+Settings!$B$5,"")</f>
        <v/>
      </c>
      <c r="H7" s="10" t="n">
        <v>480000</v>
      </c>
      <c r="I7" s="10" t="n">
        <v>150000</v>
      </c>
      <c r="J7" s="11">
        <f>IF(OR(A7="",H7=""),"",IF(H7=0,"",I7/H7))</f>
        <v/>
      </c>
      <c r="K7" s="12">
        <f>IF(OR(A7="",E7="Cancelled"),"",H7-I7)</f>
        <v/>
      </c>
      <c r="L7" s="13">
        <f>IF(OR(A7="",C7=""),"",C7-Settings!$B$4)</f>
        <v/>
      </c>
      <c r="M7" s="14">
        <f>IF(A7="","",IF(E7="Tentative",IF(G7&lt;Settings!$B$4,"Release hold or chase",IF(G7=Settings!$B$4,"Hold expires today","Hold running")),IF(E7="Cancelled","Closed",IF(J7&lt;Settings!$B$6,IF(E7="Completed","Check advance","Advance below minimum"),IF(AND(K7&gt;0,L7&lt;0),"Overdue balance",IF(AND(K7&gt;0,L7&lt;=15),"Balance due within 15 days","OK"))))))</f>
        <v/>
      </c>
      <c r="N7" s="13">
        <f>IF(C7="","",YEAR(C7)*100+MONTH(C7))</f>
        <v/>
      </c>
      <c r="O7" s="13">
        <f>IF(A7="",0,IF(OR(E7="Confirmed",E7="Completed"),IF(D7="Full day",Settings!$B$7,1),0))</f>
        <v/>
      </c>
      <c r="P7" s="12">
        <f>IF(O7&gt;0,H7,0)</f>
        <v/>
      </c>
      <c r="Q7" s="12">
        <f>IF(OR(E7="Confirmed",E7="Completed"),N(K7),0)</f>
        <v/>
      </c>
    </row>
    <row r="8">
      <c r="A8" s="8" t="inlineStr">
        <is>
          <t>B-003</t>
        </is>
      </c>
      <c r="B8" s="8" t="inlineStr">
        <is>
          <t>Grand Hall</t>
        </is>
      </c>
      <c r="C8" s="4" t="n">
        <v>46340</v>
      </c>
      <c r="D8" s="8" t="inlineStr">
        <is>
          <t>Full day</t>
        </is>
      </c>
      <c r="E8" s="8" t="inlineStr">
        <is>
          <t>Confirmed</t>
        </is>
      </c>
      <c r="F8" s="4" t="n">
        <v>46267</v>
      </c>
      <c r="G8" s="9">
        <f>IF(AND(A8&lt;&gt;"",E8="Tentative"),F8+Settings!$B$5,"")</f>
        <v/>
      </c>
      <c r="H8" s="10" t="n">
        <v>1100000</v>
      </c>
      <c r="I8" s="10" t="n">
        <v>400000</v>
      </c>
      <c r="J8" s="11">
        <f>IF(OR(A8="",H8=""),"",IF(H8=0,"",I8/H8))</f>
        <v/>
      </c>
      <c r="K8" s="12">
        <f>IF(OR(A8="",E8="Cancelled"),"",H8-I8)</f>
        <v/>
      </c>
      <c r="L8" s="13">
        <f>IF(OR(A8="",C8=""),"",C8-Settings!$B$4)</f>
        <v/>
      </c>
      <c r="M8" s="14">
        <f>IF(A8="","",IF(E8="Tentative",IF(G8&lt;Settings!$B$4,"Release hold or chase",IF(G8=Settings!$B$4,"Hold expires today","Hold running")),IF(E8="Cancelled","Closed",IF(J8&lt;Settings!$B$6,IF(E8="Completed","Check advance","Advance below minimum"),IF(AND(K8&gt;0,L8&lt;0),"Overdue balance",IF(AND(K8&gt;0,L8&lt;=15),"Balance due within 15 days","OK"))))))</f>
        <v/>
      </c>
      <c r="N8" s="13">
        <f>IF(C8="","",YEAR(C8)*100+MONTH(C8))</f>
        <v/>
      </c>
      <c r="O8" s="13">
        <f>IF(A8="",0,IF(OR(E8="Confirmed",E8="Completed"),IF(D8="Full day",Settings!$B$7,1),0))</f>
        <v/>
      </c>
      <c r="P8" s="12">
        <f>IF(O8&gt;0,H8,0)</f>
        <v/>
      </c>
      <c r="Q8" s="12">
        <f>IF(OR(E8="Confirmed",E8="Completed"),N(K8),0)</f>
        <v/>
      </c>
    </row>
    <row r="9">
      <c r="A9" s="8" t="inlineStr">
        <is>
          <t>B-004</t>
        </is>
      </c>
      <c r="B9" s="8" t="inlineStr">
        <is>
          <t>Grand Hall</t>
        </is>
      </c>
      <c r="C9" s="4" t="n">
        <v>46347</v>
      </c>
      <c r="D9" s="8" t="inlineStr">
        <is>
          <t>Evening</t>
        </is>
      </c>
      <c r="E9" s="8" t="inlineStr">
        <is>
          <t>Tentative</t>
        </is>
      </c>
      <c r="F9" s="4" t="n">
        <v>46314</v>
      </c>
      <c r="G9" s="9">
        <f>IF(AND(A9&lt;&gt;"",E9="Tentative"),F9+Settings!$B$5,"")</f>
        <v/>
      </c>
      <c r="H9" s="10" t="n">
        <v>600000</v>
      </c>
      <c r="I9" s="10" t="n">
        <v>0</v>
      </c>
      <c r="J9" s="11">
        <f>IF(OR(A9="",H9=""),"",IF(H9=0,"",I9/H9))</f>
        <v/>
      </c>
      <c r="K9" s="12">
        <f>IF(OR(A9="",E9="Cancelled"),"",H9-I9)</f>
        <v/>
      </c>
      <c r="L9" s="13">
        <f>IF(OR(A9="",C9=""),"",C9-Settings!$B$4)</f>
        <v/>
      </c>
      <c r="M9" s="14">
        <f>IF(A9="","",IF(E9="Tentative",IF(G9&lt;Settings!$B$4,"Release hold or chase",IF(G9=Settings!$B$4,"Hold expires today","Hold running")),IF(E9="Cancelled","Closed",IF(J9&lt;Settings!$B$6,IF(E9="Completed","Check advance","Advance below minimum"),IF(AND(K9&gt;0,L9&lt;0),"Overdue balance",IF(AND(K9&gt;0,L9&lt;=15),"Balance due within 15 days","OK"))))))</f>
        <v/>
      </c>
      <c r="N9" s="13">
        <f>IF(C9="","",YEAR(C9)*100+MONTH(C9))</f>
        <v/>
      </c>
      <c r="O9" s="13">
        <f>IF(A9="",0,IF(OR(E9="Confirmed",E9="Completed"),IF(D9="Full day",Settings!$B$7,1),0))</f>
        <v/>
      </c>
      <c r="P9" s="12">
        <f>IF(O9&gt;0,H9,0)</f>
        <v/>
      </c>
      <c r="Q9" s="12">
        <f>IF(OR(E9="Confirmed",E9="Completed"),N(K9),0)</f>
        <v/>
      </c>
    </row>
    <row r="10">
      <c r="A10" s="8" t="inlineStr">
        <is>
          <t>B-005</t>
        </is>
      </c>
      <c r="B10" s="8" t="inlineStr">
        <is>
          <t>Grand Hall</t>
        </is>
      </c>
      <c r="C10" s="4" t="n">
        <v>46348</v>
      </c>
      <c r="D10" s="8" t="inlineStr">
        <is>
          <t>Evening</t>
        </is>
      </c>
      <c r="E10" s="8" t="inlineStr">
        <is>
          <t>Tentative</t>
        </is>
      </c>
      <c r="F10" s="4" t="n">
        <v>46312</v>
      </c>
      <c r="G10" s="9">
        <f>IF(AND(A10&lt;&gt;"",E10="Tentative"),F10+Settings!$B$5,"")</f>
        <v/>
      </c>
      <c r="H10" s="10" t="n">
        <v>580000</v>
      </c>
      <c r="I10" s="10" t="n">
        <v>0</v>
      </c>
      <c r="J10" s="11">
        <f>IF(OR(A10="",H10=""),"",IF(H10=0,"",I10/H10))</f>
        <v/>
      </c>
      <c r="K10" s="12">
        <f>IF(OR(A10="",E10="Cancelled"),"",H10-I10)</f>
        <v/>
      </c>
      <c r="L10" s="13">
        <f>IF(OR(A10="",C10=""),"",C10-Settings!$B$4)</f>
        <v/>
      </c>
      <c r="M10" s="14">
        <f>IF(A10="","",IF(E10="Tentative",IF(G10&lt;Settings!$B$4,"Release hold or chase",IF(G10=Settings!$B$4,"Hold expires today","Hold running")),IF(E10="Cancelled","Closed",IF(J10&lt;Settings!$B$6,IF(E10="Completed","Check advance","Advance below minimum"),IF(AND(K10&gt;0,L10&lt;0),"Overdue balance",IF(AND(K10&gt;0,L10&lt;=15),"Balance due within 15 days","OK"))))))</f>
        <v/>
      </c>
      <c r="N10" s="13">
        <f>IF(C10="","",YEAR(C10)*100+MONTH(C10))</f>
        <v/>
      </c>
      <c r="O10" s="13">
        <f>IF(A10="",0,IF(OR(E10="Confirmed",E10="Completed"),IF(D10="Full day",Settings!$B$7,1),0))</f>
        <v/>
      </c>
      <c r="P10" s="12">
        <f>IF(O10&gt;0,H10,0)</f>
        <v/>
      </c>
      <c r="Q10" s="12">
        <f>IF(OR(E10="Confirmed",E10="Completed"),N(K10),0)</f>
        <v/>
      </c>
    </row>
    <row r="11">
      <c r="A11" s="8" t="inlineStr">
        <is>
          <t>B-006</t>
        </is>
      </c>
      <c r="B11" s="8" t="inlineStr">
        <is>
          <t>Grand Hall</t>
        </is>
      </c>
      <c r="C11" s="4" t="n">
        <v>46354</v>
      </c>
      <c r="D11" s="8" t="inlineStr">
        <is>
          <t>Evening</t>
        </is>
      </c>
      <c r="E11" s="8" t="inlineStr">
        <is>
          <t>Confirmed</t>
        </is>
      </c>
      <c r="F11" s="4" t="n">
        <v>46280</v>
      </c>
      <c r="G11" s="9">
        <f>IF(AND(A11&lt;&gt;"",E11="Tentative"),F11+Settings!$B$5,"")</f>
        <v/>
      </c>
      <c r="H11" s="10" t="n">
        <v>640000</v>
      </c>
      <c r="I11" s="10" t="n">
        <v>60000</v>
      </c>
      <c r="J11" s="11">
        <f>IF(OR(A11="",H11=""),"",IF(H11=0,"",I11/H11))</f>
        <v/>
      </c>
      <c r="K11" s="12">
        <f>IF(OR(A11="",E11="Cancelled"),"",H11-I11)</f>
        <v/>
      </c>
      <c r="L11" s="13">
        <f>IF(OR(A11="",C11=""),"",C11-Settings!$B$4)</f>
        <v/>
      </c>
      <c r="M11" s="14">
        <f>IF(A11="","",IF(E11="Tentative",IF(G11&lt;Settings!$B$4,"Release hold or chase",IF(G11=Settings!$B$4,"Hold expires today","Hold running")),IF(E11="Cancelled","Closed",IF(J11&lt;Settings!$B$6,IF(E11="Completed","Check advance","Advance below minimum"),IF(AND(K11&gt;0,L11&lt;0),"Overdue balance",IF(AND(K11&gt;0,L11&lt;=15),"Balance due within 15 days","OK"))))))</f>
        <v/>
      </c>
      <c r="N11" s="13">
        <f>IF(C11="","",YEAR(C11)*100+MONTH(C11))</f>
        <v/>
      </c>
      <c r="O11" s="13">
        <f>IF(A11="",0,IF(OR(E11="Confirmed",E11="Completed"),IF(D11="Full day",Settings!$B$7,1),0))</f>
        <v/>
      </c>
      <c r="P11" s="12">
        <f>IF(O11&gt;0,H11,0)</f>
        <v/>
      </c>
      <c r="Q11" s="12">
        <f>IF(OR(E11="Confirmed",E11="Completed"),N(K11),0)</f>
        <v/>
      </c>
    </row>
    <row r="12">
      <c r="A12" s="8" t="inlineStr">
        <is>
          <t>B-007</t>
        </is>
      </c>
      <c r="B12" s="8" t="inlineStr">
        <is>
          <t>Grand Hall</t>
        </is>
      </c>
      <c r="C12" s="4" t="n">
        <v>46359</v>
      </c>
      <c r="D12" s="8" t="inlineStr">
        <is>
          <t>Morning</t>
        </is>
      </c>
      <c r="E12" s="8" t="inlineStr">
        <is>
          <t>Confirmed</t>
        </is>
      </c>
      <c r="F12" s="4" t="n">
        <v>46283</v>
      </c>
      <c r="G12" s="9">
        <f>IF(AND(A12&lt;&gt;"",E12="Tentative"),F12+Settings!$B$5,"")</f>
        <v/>
      </c>
      <c r="H12" s="10" t="n">
        <v>450000</v>
      </c>
      <c r="I12" s="10" t="n">
        <v>140000</v>
      </c>
      <c r="J12" s="11">
        <f>IF(OR(A12="",H12=""),"",IF(H12=0,"",I12/H12))</f>
        <v/>
      </c>
      <c r="K12" s="12">
        <f>IF(OR(A12="",E12="Cancelled"),"",H12-I12)</f>
        <v/>
      </c>
      <c r="L12" s="13">
        <f>IF(OR(A12="",C12=""),"",C12-Settings!$B$4)</f>
        <v/>
      </c>
      <c r="M12" s="14">
        <f>IF(A12="","",IF(E12="Tentative",IF(G12&lt;Settings!$B$4,"Release hold or chase",IF(G12=Settings!$B$4,"Hold expires today","Hold running")),IF(E12="Cancelled","Closed",IF(J12&lt;Settings!$B$6,IF(E12="Completed","Check advance","Advance below minimum"),IF(AND(K12&gt;0,L12&lt;0),"Overdue balance",IF(AND(K12&gt;0,L12&lt;=15),"Balance due within 15 days","OK"))))))</f>
        <v/>
      </c>
      <c r="N12" s="13">
        <f>IF(C12="","",YEAR(C12)*100+MONTH(C12))</f>
        <v/>
      </c>
      <c r="O12" s="13">
        <f>IF(A12="",0,IF(OR(E12="Confirmed",E12="Completed"),IF(D12="Full day",Settings!$B$7,1),0))</f>
        <v/>
      </c>
      <c r="P12" s="12">
        <f>IF(O12&gt;0,H12,0)</f>
        <v/>
      </c>
      <c r="Q12" s="12">
        <f>IF(OR(E12="Confirmed",E12="Completed"),N(K12),0)</f>
        <v/>
      </c>
    </row>
    <row r="13">
      <c r="A13" s="8" t="inlineStr">
        <is>
          <t>B-008</t>
        </is>
      </c>
      <c r="B13" s="8" t="inlineStr">
        <is>
          <t>Grand Hall</t>
        </is>
      </c>
      <c r="C13" s="4" t="n">
        <v>46361</v>
      </c>
      <c r="D13" s="8" t="inlineStr">
        <is>
          <t>Evening</t>
        </is>
      </c>
      <c r="E13" s="8" t="inlineStr">
        <is>
          <t>Confirmed</t>
        </is>
      </c>
      <c r="F13" s="4" t="n">
        <v>46287</v>
      </c>
      <c r="G13" s="9">
        <f>IF(AND(A13&lt;&gt;"",E13="Tentative"),F13+Settings!$B$5,"")</f>
        <v/>
      </c>
      <c r="H13" s="10" t="n">
        <v>700000</v>
      </c>
      <c r="I13" s="10" t="n">
        <v>250000</v>
      </c>
      <c r="J13" s="11">
        <f>IF(OR(A13="",H13=""),"",IF(H13=0,"",I13/H13))</f>
        <v/>
      </c>
      <c r="K13" s="12">
        <f>IF(OR(A13="",E13="Cancelled"),"",H13-I13)</f>
        <v/>
      </c>
      <c r="L13" s="13">
        <f>IF(OR(A13="",C13=""),"",C13-Settings!$B$4)</f>
        <v/>
      </c>
      <c r="M13" s="14">
        <f>IF(A13="","",IF(E13="Tentative",IF(G13&lt;Settings!$B$4,"Release hold or chase",IF(G13=Settings!$B$4,"Hold expires today","Hold running")),IF(E13="Cancelled","Closed",IF(J13&lt;Settings!$B$6,IF(E13="Completed","Check advance","Advance below minimum"),IF(AND(K13&gt;0,L13&lt;0),"Overdue balance",IF(AND(K13&gt;0,L13&lt;=15),"Balance due within 15 days","OK"))))))</f>
        <v/>
      </c>
      <c r="N13" s="13">
        <f>IF(C13="","",YEAR(C13)*100+MONTH(C13))</f>
        <v/>
      </c>
      <c r="O13" s="13">
        <f>IF(A13="",0,IF(OR(E13="Confirmed",E13="Completed"),IF(D13="Full day",Settings!$B$7,1),0))</f>
        <v/>
      </c>
      <c r="P13" s="12">
        <f>IF(O13&gt;0,H13,0)</f>
        <v/>
      </c>
      <c r="Q13" s="12">
        <f>IF(OR(E13="Confirmed",E13="Completed"),N(K13),0)</f>
        <v/>
      </c>
    </row>
    <row r="14">
      <c r="A14" s="8" t="inlineStr">
        <is>
          <t>B-009</t>
        </is>
      </c>
      <c r="B14" s="8" t="inlineStr">
        <is>
          <t>Garden Lawn</t>
        </is>
      </c>
      <c r="C14" s="4" t="n">
        <v>46333</v>
      </c>
      <c r="D14" s="8" t="inlineStr">
        <is>
          <t>Evening</t>
        </is>
      </c>
      <c r="E14" s="8" t="inlineStr">
        <is>
          <t>Confirmed</t>
        </is>
      </c>
      <c r="F14" s="4" t="n">
        <v>46259</v>
      </c>
      <c r="G14" s="9">
        <f>IF(AND(A14&lt;&gt;"",E14="Tentative"),F14+Settings!$B$5,"")</f>
        <v/>
      </c>
      <c r="H14" s="10" t="n">
        <v>520000</v>
      </c>
      <c r="I14" s="10" t="n">
        <v>180000</v>
      </c>
      <c r="J14" s="11">
        <f>IF(OR(A14="",H14=""),"",IF(H14=0,"",I14/H14))</f>
        <v/>
      </c>
      <c r="K14" s="12">
        <f>IF(OR(A14="",E14="Cancelled"),"",H14-I14)</f>
        <v/>
      </c>
      <c r="L14" s="13">
        <f>IF(OR(A14="",C14=""),"",C14-Settings!$B$4)</f>
        <v/>
      </c>
      <c r="M14" s="14">
        <f>IF(A14="","",IF(E14="Tentative",IF(G14&lt;Settings!$B$4,"Release hold or chase",IF(G14=Settings!$B$4,"Hold expires today","Hold running")),IF(E14="Cancelled","Closed",IF(J14&lt;Settings!$B$6,IF(E14="Completed","Check advance","Advance below minimum"),IF(AND(K14&gt;0,L14&lt;0),"Overdue balance",IF(AND(K14&gt;0,L14&lt;=15),"Balance due within 15 days","OK"))))))</f>
        <v/>
      </c>
      <c r="N14" s="13">
        <f>IF(C14="","",YEAR(C14)*100+MONTH(C14))</f>
        <v/>
      </c>
      <c r="O14" s="13">
        <f>IF(A14="",0,IF(OR(E14="Confirmed",E14="Completed"),IF(D14="Full day",Settings!$B$7,1),0))</f>
        <v/>
      </c>
      <c r="P14" s="12">
        <f>IF(O14&gt;0,H14,0)</f>
        <v/>
      </c>
      <c r="Q14" s="12">
        <f>IF(OR(E14="Confirmed",E14="Completed"),N(K14),0)</f>
        <v/>
      </c>
    </row>
    <row r="15">
      <c r="A15" s="8" t="inlineStr">
        <is>
          <t>B-010</t>
        </is>
      </c>
      <c r="B15" s="8" t="inlineStr">
        <is>
          <t>Garden Lawn</t>
        </is>
      </c>
      <c r="C15" s="4" t="n">
        <v>46334</v>
      </c>
      <c r="D15" s="8" t="inlineStr">
        <is>
          <t>Evening</t>
        </is>
      </c>
      <c r="E15" s="8" t="inlineStr">
        <is>
          <t>Confirmed</t>
        </is>
      </c>
      <c r="F15" s="4" t="n">
        <v>46270</v>
      </c>
      <c r="G15" s="9">
        <f>IF(AND(A15&lt;&gt;"",E15="Tentative"),F15+Settings!$B$5,"")</f>
        <v/>
      </c>
      <c r="H15" s="10" t="n">
        <v>540000</v>
      </c>
      <c r="I15" s="10" t="n">
        <v>200000</v>
      </c>
      <c r="J15" s="11">
        <f>IF(OR(A15="",H15=""),"",IF(H15=0,"",I15/H15))</f>
        <v/>
      </c>
      <c r="K15" s="12">
        <f>IF(OR(A15="",E15="Cancelled"),"",H15-I15)</f>
        <v/>
      </c>
      <c r="L15" s="13">
        <f>IF(OR(A15="",C15=""),"",C15-Settings!$B$4)</f>
        <v/>
      </c>
      <c r="M15" s="14">
        <f>IF(A15="","",IF(E15="Tentative",IF(G15&lt;Settings!$B$4,"Release hold or chase",IF(G15=Settings!$B$4,"Hold expires today","Hold running")),IF(E15="Cancelled","Closed",IF(J15&lt;Settings!$B$6,IF(E15="Completed","Check advance","Advance below minimum"),IF(AND(K15&gt;0,L15&lt;0),"Overdue balance",IF(AND(K15&gt;0,L15&lt;=15),"Balance due within 15 days","OK"))))))</f>
        <v/>
      </c>
      <c r="N15" s="13">
        <f>IF(C15="","",YEAR(C15)*100+MONTH(C15))</f>
        <v/>
      </c>
      <c r="O15" s="13">
        <f>IF(A15="",0,IF(OR(E15="Confirmed",E15="Completed"),IF(D15="Full day",Settings!$B$7,1),0))</f>
        <v/>
      </c>
      <c r="P15" s="12">
        <f>IF(O15&gt;0,H15,0)</f>
        <v/>
      </c>
      <c r="Q15" s="12">
        <f>IF(OR(E15="Confirmed",E15="Completed"),N(K15),0)</f>
        <v/>
      </c>
    </row>
    <row r="16">
      <c r="A16" s="8" t="inlineStr">
        <is>
          <t>B-011</t>
        </is>
      </c>
      <c r="B16" s="8" t="inlineStr">
        <is>
          <t>Garden Lawn</t>
        </is>
      </c>
      <c r="C16" s="4" t="n">
        <v>46341</v>
      </c>
      <c r="D16" s="8" t="inlineStr">
        <is>
          <t>Full day</t>
        </is>
      </c>
      <c r="E16" s="8" t="inlineStr">
        <is>
          <t>Confirmed</t>
        </is>
      </c>
      <c r="F16" s="4" t="n">
        <v>46275</v>
      </c>
      <c r="G16" s="9">
        <f>IF(AND(A16&lt;&gt;"",E16="Tentative"),F16+Settings!$B$5,"")</f>
        <v/>
      </c>
      <c r="H16" s="10" t="n">
        <v>950000</v>
      </c>
      <c r="I16" s="10" t="n">
        <v>300000</v>
      </c>
      <c r="J16" s="11">
        <f>IF(OR(A16="",H16=""),"",IF(H16=0,"",I16/H16))</f>
        <v/>
      </c>
      <c r="K16" s="12">
        <f>IF(OR(A16="",E16="Cancelled"),"",H16-I16)</f>
        <v/>
      </c>
      <c r="L16" s="13">
        <f>IF(OR(A16="",C16=""),"",C16-Settings!$B$4)</f>
        <v/>
      </c>
      <c r="M16" s="14">
        <f>IF(A16="","",IF(E16="Tentative",IF(G16&lt;Settings!$B$4,"Release hold or chase",IF(G16=Settings!$B$4,"Hold expires today","Hold running")),IF(E16="Cancelled","Closed",IF(J16&lt;Settings!$B$6,IF(E16="Completed","Check advance","Advance below minimum"),IF(AND(K16&gt;0,L16&lt;0),"Overdue balance",IF(AND(K16&gt;0,L16&lt;=15),"Balance due within 15 days","OK"))))))</f>
        <v/>
      </c>
      <c r="N16" s="13">
        <f>IF(C16="","",YEAR(C16)*100+MONTH(C16))</f>
        <v/>
      </c>
      <c r="O16" s="13">
        <f>IF(A16="",0,IF(OR(E16="Confirmed",E16="Completed"),IF(D16="Full day",Settings!$B$7,1),0))</f>
        <v/>
      </c>
      <c r="P16" s="12">
        <f>IF(O16&gt;0,H16,0)</f>
        <v/>
      </c>
      <c r="Q16" s="12">
        <f>IF(OR(E16="Confirmed",E16="Completed"),N(K16),0)</f>
        <v/>
      </c>
    </row>
    <row r="17">
      <c r="A17" s="8" t="inlineStr">
        <is>
          <t>B-012</t>
        </is>
      </c>
      <c r="B17" s="8" t="inlineStr">
        <is>
          <t>Garden Lawn</t>
        </is>
      </c>
      <c r="C17" s="4" t="n">
        <v>46355</v>
      </c>
      <c r="D17" s="8" t="inlineStr">
        <is>
          <t>Evening</t>
        </is>
      </c>
      <c r="E17" s="8" t="inlineStr">
        <is>
          <t>Cancelled</t>
        </is>
      </c>
      <c r="F17" s="4" t="n">
        <v>46277</v>
      </c>
      <c r="G17" s="9">
        <f>IF(AND(A17&lt;&gt;"",E17="Tentative"),F17+Settings!$B$5,"")</f>
        <v/>
      </c>
      <c r="H17" s="10" t="n">
        <v>500000</v>
      </c>
      <c r="I17" s="10" t="n">
        <v>100000</v>
      </c>
      <c r="J17" s="11">
        <f>IF(OR(A17="",H17=""),"",IF(H17=0,"",I17/H17))</f>
        <v/>
      </c>
      <c r="K17" s="12">
        <f>IF(OR(A17="",E17="Cancelled"),"",H17-I17)</f>
        <v/>
      </c>
      <c r="L17" s="13">
        <f>IF(OR(A17="",C17=""),"",C17-Settings!$B$4)</f>
        <v/>
      </c>
      <c r="M17" s="14">
        <f>IF(A17="","",IF(E17="Tentative",IF(G17&lt;Settings!$B$4,"Release hold or chase",IF(G17=Settings!$B$4,"Hold expires today","Hold running")),IF(E17="Cancelled","Closed",IF(J17&lt;Settings!$B$6,IF(E17="Completed","Check advance","Advance below minimum"),IF(AND(K17&gt;0,L17&lt;0),"Overdue balance",IF(AND(K17&gt;0,L17&lt;=15),"Balance due within 15 days","OK"))))))</f>
        <v/>
      </c>
      <c r="N17" s="13">
        <f>IF(C17="","",YEAR(C17)*100+MONTH(C17))</f>
        <v/>
      </c>
      <c r="O17" s="13">
        <f>IF(A17="",0,IF(OR(E17="Confirmed",E17="Completed"),IF(D17="Full day",Settings!$B$7,1),0))</f>
        <v/>
      </c>
      <c r="P17" s="12">
        <f>IF(O17&gt;0,H17,0)</f>
        <v/>
      </c>
      <c r="Q17" s="12">
        <f>IF(OR(E17="Confirmed",E17="Completed"),N(K17),0)</f>
        <v/>
      </c>
    </row>
    <row r="18">
      <c r="A18" s="8" t="inlineStr">
        <is>
          <t>B-013</t>
        </is>
      </c>
      <c r="B18" s="8" t="inlineStr">
        <is>
          <t>Garden Lawn</t>
        </is>
      </c>
      <c r="C18" s="4" t="n">
        <v>46360</v>
      </c>
      <c r="D18" s="8" t="inlineStr">
        <is>
          <t>Evening</t>
        </is>
      </c>
      <c r="E18" s="8" t="inlineStr">
        <is>
          <t>Confirmed</t>
        </is>
      </c>
      <c r="F18" s="4" t="n">
        <v>46296</v>
      </c>
      <c r="G18" s="9">
        <f>IF(AND(A18&lt;&gt;"",E18="Tentative"),F18+Settings!$B$5,"")</f>
        <v/>
      </c>
      <c r="H18" s="10" t="n">
        <v>560000</v>
      </c>
      <c r="I18" s="10" t="n">
        <v>170000</v>
      </c>
      <c r="J18" s="11">
        <f>IF(OR(A18="",H18=""),"",IF(H18=0,"",I18/H18))</f>
        <v/>
      </c>
      <c r="K18" s="12">
        <f>IF(OR(A18="",E18="Cancelled"),"",H18-I18)</f>
        <v/>
      </c>
      <c r="L18" s="13">
        <f>IF(OR(A18="",C18=""),"",C18-Settings!$B$4)</f>
        <v/>
      </c>
      <c r="M18" s="14">
        <f>IF(A18="","",IF(E18="Tentative",IF(G18&lt;Settings!$B$4,"Release hold or chase",IF(G18=Settings!$B$4,"Hold expires today","Hold running")),IF(E18="Cancelled","Closed",IF(J18&lt;Settings!$B$6,IF(E18="Completed","Check advance","Advance below minimum"),IF(AND(K18&gt;0,L18&lt;0),"Overdue balance",IF(AND(K18&gt;0,L18&lt;=15),"Balance due within 15 days","OK"))))))</f>
        <v/>
      </c>
      <c r="N18" s="13">
        <f>IF(C18="","",YEAR(C18)*100+MONTH(C18))</f>
        <v/>
      </c>
      <c r="O18" s="13">
        <f>IF(A18="",0,IF(OR(E18="Confirmed",E18="Completed"),IF(D18="Full day",Settings!$B$7,1),0))</f>
        <v/>
      </c>
      <c r="P18" s="12">
        <f>IF(O18&gt;0,H18,0)</f>
        <v/>
      </c>
      <c r="Q18" s="12">
        <f>IF(OR(E18="Confirmed",E18="Completed"),N(K18),0)</f>
        <v/>
      </c>
    </row>
    <row r="19">
      <c r="A19" s="8" t="inlineStr">
        <is>
          <t>B-014</t>
        </is>
      </c>
      <c r="B19" s="8" t="inlineStr">
        <is>
          <t>Garden Lawn</t>
        </is>
      </c>
      <c r="C19" s="4" t="n">
        <v>46368</v>
      </c>
      <c r="D19" s="8" t="inlineStr">
        <is>
          <t>Evening</t>
        </is>
      </c>
      <c r="E19" s="8" t="inlineStr">
        <is>
          <t>Tentative</t>
        </is>
      </c>
      <c r="F19" s="4" t="n">
        <v>46315</v>
      </c>
      <c r="G19" s="9">
        <f>IF(AND(A19&lt;&gt;"",E19="Tentative"),F19+Settings!$B$5,"")</f>
        <v/>
      </c>
      <c r="H19" s="10" t="n">
        <v>580000</v>
      </c>
      <c r="I19" s="10" t="n">
        <v>0</v>
      </c>
      <c r="J19" s="11">
        <f>IF(OR(A19="",H19=""),"",IF(H19=0,"",I19/H19))</f>
        <v/>
      </c>
      <c r="K19" s="12">
        <f>IF(OR(A19="",E19="Cancelled"),"",H19-I19)</f>
        <v/>
      </c>
      <c r="L19" s="13">
        <f>IF(OR(A19="",C19=""),"",C19-Settings!$B$4)</f>
        <v/>
      </c>
      <c r="M19" s="14">
        <f>IF(A19="","",IF(E19="Tentative",IF(G19&lt;Settings!$B$4,"Release hold or chase",IF(G19=Settings!$B$4,"Hold expires today","Hold running")),IF(E19="Cancelled","Closed",IF(J19&lt;Settings!$B$6,IF(E19="Completed","Check advance","Advance below minimum"),IF(AND(K19&gt;0,L19&lt;0),"Overdue balance",IF(AND(K19&gt;0,L19&lt;=15),"Balance due within 15 days","OK"))))))</f>
        <v/>
      </c>
      <c r="N19" s="13">
        <f>IF(C19="","",YEAR(C19)*100+MONTH(C19))</f>
        <v/>
      </c>
      <c r="O19" s="13">
        <f>IF(A19="",0,IF(OR(E19="Confirmed",E19="Completed"),IF(D19="Full day",Settings!$B$7,1),0))</f>
        <v/>
      </c>
      <c r="P19" s="12">
        <f>IF(O19&gt;0,H19,0)</f>
        <v/>
      </c>
      <c r="Q19" s="12">
        <f>IF(OR(E19="Confirmed",E19="Completed"),N(K19),0)</f>
        <v/>
      </c>
    </row>
    <row r="20">
      <c r="A20" s="8" t="inlineStr">
        <is>
          <t>B-015</t>
        </is>
      </c>
      <c r="B20" s="8" t="inlineStr">
        <is>
          <t>Mini Hall</t>
        </is>
      </c>
      <c r="C20" s="4" t="n">
        <v>46336</v>
      </c>
      <c r="D20" s="8" t="inlineStr">
        <is>
          <t>Morning</t>
        </is>
      </c>
      <c r="E20" s="8" t="inlineStr">
        <is>
          <t>Confirmed</t>
        </is>
      </c>
      <c r="F20" s="4" t="n">
        <v>46290</v>
      </c>
      <c r="G20" s="9">
        <f>IF(AND(A20&lt;&gt;"",E20="Tentative"),F20+Settings!$B$5,"")</f>
        <v/>
      </c>
      <c r="H20" s="10" t="n">
        <v>180000</v>
      </c>
      <c r="I20" s="10" t="n">
        <v>60000</v>
      </c>
      <c r="J20" s="11">
        <f>IF(OR(A20="",H20=""),"",IF(H20=0,"",I20/H20))</f>
        <v/>
      </c>
      <c r="K20" s="12">
        <f>IF(OR(A20="",E20="Cancelled"),"",H20-I20)</f>
        <v/>
      </c>
      <c r="L20" s="13">
        <f>IF(OR(A20="",C20=""),"",C20-Settings!$B$4)</f>
        <v/>
      </c>
      <c r="M20" s="14">
        <f>IF(A20="","",IF(E20="Tentative",IF(G20&lt;Settings!$B$4,"Release hold or chase",IF(G20=Settings!$B$4,"Hold expires today","Hold running")),IF(E20="Cancelled","Closed",IF(J20&lt;Settings!$B$6,IF(E20="Completed","Check advance","Advance below minimum"),IF(AND(K20&gt;0,L20&lt;0),"Overdue balance",IF(AND(K20&gt;0,L20&lt;=15),"Balance due within 15 days","OK"))))))</f>
        <v/>
      </c>
      <c r="N20" s="13">
        <f>IF(C20="","",YEAR(C20)*100+MONTH(C20))</f>
        <v/>
      </c>
      <c r="O20" s="13">
        <f>IF(A20="",0,IF(OR(E20="Confirmed",E20="Completed"),IF(D20="Full day",Settings!$B$7,1),0))</f>
        <v/>
      </c>
      <c r="P20" s="12">
        <f>IF(O20&gt;0,H20,0)</f>
        <v/>
      </c>
      <c r="Q20" s="12">
        <f>IF(OR(E20="Confirmed",E20="Completed"),N(K20),0)</f>
        <v/>
      </c>
    </row>
    <row r="21">
      <c r="A21" s="8" t="inlineStr">
        <is>
          <t>B-016</t>
        </is>
      </c>
      <c r="B21" s="8" t="inlineStr">
        <is>
          <t>Mini Hall</t>
        </is>
      </c>
      <c r="C21" s="4" t="n">
        <v>46336</v>
      </c>
      <c r="D21" s="8" t="inlineStr">
        <is>
          <t>Evening</t>
        </is>
      </c>
      <c r="E21" s="8" t="inlineStr">
        <is>
          <t>Confirmed</t>
        </is>
      </c>
      <c r="F21" s="4" t="n">
        <v>46290</v>
      </c>
      <c r="G21" s="9">
        <f>IF(AND(A21&lt;&gt;"",E21="Tentative"),F21+Settings!$B$5,"")</f>
        <v/>
      </c>
      <c r="H21" s="10" t="n">
        <v>210000</v>
      </c>
      <c r="I21" s="10" t="n">
        <v>70000</v>
      </c>
      <c r="J21" s="11">
        <f>IF(OR(A21="",H21=""),"",IF(H21=0,"",I21/H21))</f>
        <v/>
      </c>
      <c r="K21" s="12">
        <f>IF(OR(A21="",E21="Cancelled"),"",H21-I21)</f>
        <v/>
      </c>
      <c r="L21" s="13">
        <f>IF(OR(A21="",C21=""),"",C21-Settings!$B$4)</f>
        <v/>
      </c>
      <c r="M21" s="14">
        <f>IF(A21="","",IF(E21="Tentative",IF(G21&lt;Settings!$B$4,"Release hold or chase",IF(G21=Settings!$B$4,"Hold expires today","Hold running")),IF(E21="Cancelled","Closed",IF(J21&lt;Settings!$B$6,IF(E21="Completed","Check advance","Advance below minimum"),IF(AND(K21&gt;0,L21&lt;0),"Overdue balance",IF(AND(K21&gt;0,L21&lt;=15),"Balance due within 15 days","OK"))))))</f>
        <v/>
      </c>
      <c r="N21" s="13">
        <f>IF(C21="","",YEAR(C21)*100+MONTH(C21))</f>
        <v/>
      </c>
      <c r="O21" s="13">
        <f>IF(A21="",0,IF(OR(E21="Confirmed",E21="Completed"),IF(D21="Full day",Settings!$B$7,1),0))</f>
        <v/>
      </c>
      <c r="P21" s="12">
        <f>IF(O21&gt;0,H21,0)</f>
        <v/>
      </c>
      <c r="Q21" s="12">
        <f>IF(OR(E21="Confirmed",E21="Completed"),N(K21),0)</f>
        <v/>
      </c>
    </row>
    <row r="22">
      <c r="A22" s="8" t="inlineStr">
        <is>
          <t>B-017</t>
        </is>
      </c>
      <c r="B22" s="8" t="inlineStr">
        <is>
          <t>Mini Hall</t>
        </is>
      </c>
      <c r="C22" s="4" t="n">
        <v>46343</v>
      </c>
      <c r="D22" s="8" t="inlineStr">
        <is>
          <t>Evening</t>
        </is>
      </c>
      <c r="E22" s="8" t="inlineStr">
        <is>
          <t>Confirmed</t>
        </is>
      </c>
      <c r="F22" s="4" t="n">
        <v>46298</v>
      </c>
      <c r="G22" s="9">
        <f>IF(AND(A22&lt;&gt;"",E22="Tentative"),F22+Settings!$B$5,"")</f>
        <v/>
      </c>
      <c r="H22" s="10" t="n">
        <v>230000</v>
      </c>
      <c r="I22" s="10" t="n">
        <v>40000</v>
      </c>
      <c r="J22" s="11">
        <f>IF(OR(A22="",H22=""),"",IF(H22=0,"",I22/H22))</f>
        <v/>
      </c>
      <c r="K22" s="12">
        <f>IF(OR(A22="",E22="Cancelled"),"",H22-I22)</f>
        <v/>
      </c>
      <c r="L22" s="13">
        <f>IF(OR(A22="",C22=""),"",C22-Settings!$B$4)</f>
        <v/>
      </c>
      <c r="M22" s="14">
        <f>IF(A22="","",IF(E22="Tentative",IF(G22&lt;Settings!$B$4,"Release hold or chase",IF(G22=Settings!$B$4,"Hold expires today","Hold running")),IF(E22="Cancelled","Closed",IF(J22&lt;Settings!$B$6,IF(E22="Completed","Check advance","Advance below minimum"),IF(AND(K22&gt;0,L22&lt;0),"Overdue balance",IF(AND(K22&gt;0,L22&lt;=15),"Balance due within 15 days","OK"))))))</f>
        <v/>
      </c>
      <c r="N22" s="13">
        <f>IF(C22="","",YEAR(C22)*100+MONTH(C22))</f>
        <v/>
      </c>
      <c r="O22" s="13">
        <f>IF(A22="",0,IF(OR(E22="Confirmed",E22="Completed"),IF(D22="Full day",Settings!$B$7,1),0))</f>
        <v/>
      </c>
      <c r="P22" s="12">
        <f>IF(O22&gt;0,H22,0)</f>
        <v/>
      </c>
      <c r="Q22" s="12">
        <f>IF(OR(E22="Confirmed",E22="Completed"),N(K22),0)</f>
        <v/>
      </c>
    </row>
    <row r="23">
      <c r="A23" s="8" t="inlineStr">
        <is>
          <t>B-018</t>
        </is>
      </c>
      <c r="B23" s="8" t="inlineStr">
        <is>
          <t>Mini Hall</t>
        </is>
      </c>
      <c r="C23" s="4" t="n">
        <v>46350</v>
      </c>
      <c r="D23" s="8" t="inlineStr">
        <is>
          <t>Morning</t>
        </is>
      </c>
      <c r="E23" s="8" t="inlineStr">
        <is>
          <t>Confirmed</t>
        </is>
      </c>
      <c r="F23" s="4" t="n">
        <v>46299</v>
      </c>
      <c r="G23" s="9">
        <f>IF(AND(A23&lt;&gt;"",E23="Tentative"),F23+Settings!$B$5,"")</f>
        <v/>
      </c>
      <c r="H23" s="10" t="n">
        <v>170000</v>
      </c>
      <c r="I23" s="10" t="n">
        <v>60000</v>
      </c>
      <c r="J23" s="11">
        <f>IF(OR(A23="",H23=""),"",IF(H23=0,"",I23/H23))</f>
        <v/>
      </c>
      <c r="K23" s="12">
        <f>IF(OR(A23="",E23="Cancelled"),"",H23-I23)</f>
        <v/>
      </c>
      <c r="L23" s="13">
        <f>IF(OR(A23="",C23=""),"",C23-Settings!$B$4)</f>
        <v/>
      </c>
      <c r="M23" s="14">
        <f>IF(A23="","",IF(E23="Tentative",IF(G23&lt;Settings!$B$4,"Release hold or chase",IF(G23=Settings!$B$4,"Hold expires today","Hold running")),IF(E23="Cancelled","Closed",IF(J23&lt;Settings!$B$6,IF(E23="Completed","Check advance","Advance below minimum"),IF(AND(K23&gt;0,L23&lt;0),"Overdue balance",IF(AND(K23&gt;0,L23&lt;=15),"Balance due within 15 days","OK"))))))</f>
        <v/>
      </c>
      <c r="N23" s="13">
        <f>IF(C23="","",YEAR(C23)*100+MONTH(C23))</f>
        <v/>
      </c>
      <c r="O23" s="13">
        <f>IF(A23="",0,IF(OR(E23="Confirmed",E23="Completed"),IF(D23="Full day",Settings!$B$7,1),0))</f>
        <v/>
      </c>
      <c r="P23" s="12">
        <f>IF(O23&gt;0,H23,0)</f>
        <v/>
      </c>
      <c r="Q23" s="12">
        <f>IF(OR(E23="Confirmed",E23="Completed"),N(K23),0)</f>
        <v/>
      </c>
    </row>
    <row r="24">
      <c r="A24" s="8" t="inlineStr">
        <is>
          <t>B-019</t>
        </is>
      </c>
      <c r="B24" s="8" t="inlineStr">
        <is>
          <t>Mini Hall</t>
        </is>
      </c>
      <c r="C24" s="4" t="n">
        <v>46362</v>
      </c>
      <c r="D24" s="8" t="inlineStr">
        <is>
          <t>Evening</t>
        </is>
      </c>
      <c r="E24" s="8" t="inlineStr">
        <is>
          <t>Confirmed</t>
        </is>
      </c>
      <c r="F24" s="4" t="n">
        <v>46303</v>
      </c>
      <c r="G24" s="9">
        <f>IF(AND(A24&lt;&gt;"",E24="Tentative"),F24+Settings!$B$5,"")</f>
        <v/>
      </c>
      <c r="H24" s="10" t="n">
        <v>220000</v>
      </c>
      <c r="I24" s="10" t="n">
        <v>80000</v>
      </c>
      <c r="J24" s="11">
        <f>IF(OR(A24="",H24=""),"",IF(H24=0,"",I24/H24))</f>
        <v/>
      </c>
      <c r="K24" s="12">
        <f>IF(OR(A24="",E24="Cancelled"),"",H24-I24)</f>
        <v/>
      </c>
      <c r="L24" s="13">
        <f>IF(OR(A24="",C24=""),"",C24-Settings!$B$4)</f>
        <v/>
      </c>
      <c r="M24" s="14">
        <f>IF(A24="","",IF(E24="Tentative",IF(G24&lt;Settings!$B$4,"Release hold or chase",IF(G24=Settings!$B$4,"Hold expires today","Hold running")),IF(E24="Cancelled","Closed",IF(J24&lt;Settings!$B$6,IF(E24="Completed","Check advance","Advance below minimum"),IF(AND(K24&gt;0,L24&lt;0),"Overdue balance",IF(AND(K24&gt;0,L24&lt;=15),"Balance due within 15 days","OK"))))))</f>
        <v/>
      </c>
      <c r="N24" s="13">
        <f>IF(C24="","",YEAR(C24)*100+MONTH(C24))</f>
        <v/>
      </c>
      <c r="O24" s="13">
        <f>IF(A24="",0,IF(OR(E24="Confirmed",E24="Completed"),IF(D24="Full day",Settings!$B$7,1),0))</f>
        <v/>
      </c>
      <c r="P24" s="12">
        <f>IF(O24&gt;0,H24,0)</f>
        <v/>
      </c>
      <c r="Q24" s="12">
        <f>IF(OR(E24="Confirmed",E24="Completed"),N(K24),0)</f>
        <v/>
      </c>
    </row>
    <row r="25">
      <c r="A25" s="8" t="inlineStr">
        <is>
          <t>B-020</t>
        </is>
      </c>
      <c r="B25" s="8" t="inlineStr">
        <is>
          <t>Mini Hall</t>
        </is>
      </c>
      <c r="C25" s="4" t="n">
        <v>46299</v>
      </c>
      <c r="D25" s="8" t="inlineStr">
        <is>
          <t>Evening</t>
        </is>
      </c>
      <c r="E25" s="8" t="inlineStr">
        <is>
          <t>Completed</t>
        </is>
      </c>
      <c r="F25" s="4" t="n">
        <v>46235</v>
      </c>
      <c r="G25" s="9">
        <f>IF(AND(A25&lt;&gt;"",E25="Tentative"),F25+Settings!$B$5,"")</f>
        <v/>
      </c>
      <c r="H25" s="10" t="n">
        <v>200000</v>
      </c>
      <c r="I25" s="10" t="n">
        <v>120000</v>
      </c>
      <c r="J25" s="11">
        <f>IF(OR(A25="",H25=""),"",IF(H25=0,"",I25/H25))</f>
        <v/>
      </c>
      <c r="K25" s="12">
        <f>IF(OR(A25="",E25="Cancelled"),"",H25-I25)</f>
        <v/>
      </c>
      <c r="L25" s="13">
        <f>IF(OR(A25="",C25=""),"",C25-Settings!$B$4)</f>
        <v/>
      </c>
      <c r="M25" s="14">
        <f>IF(A25="","",IF(E25="Tentative",IF(G25&lt;Settings!$B$4,"Release hold or chase",IF(G25=Settings!$B$4,"Hold expires today","Hold running")),IF(E25="Cancelled","Closed",IF(J25&lt;Settings!$B$6,IF(E25="Completed","Check advance","Advance below minimum"),IF(AND(K25&gt;0,L25&lt;0),"Overdue balance",IF(AND(K25&gt;0,L25&lt;=15),"Balance due within 15 days","OK"))))))</f>
        <v/>
      </c>
      <c r="N25" s="13">
        <f>IF(C25="","",YEAR(C25)*100+MONTH(C25))</f>
        <v/>
      </c>
      <c r="O25" s="13">
        <f>IF(A25="",0,IF(OR(E25="Confirmed",E25="Completed"),IF(D25="Full day",Settings!$B$7,1),0))</f>
        <v/>
      </c>
      <c r="P25" s="12">
        <f>IF(O25&gt;0,H25,0)</f>
        <v/>
      </c>
      <c r="Q25" s="12">
        <f>IF(OR(E25="Confirmed",E25="Completed"),N(K25),0)</f>
        <v/>
      </c>
    </row>
    <row r="26">
      <c r="A26" s="8" t="inlineStr">
        <is>
          <t>B-021</t>
        </is>
      </c>
      <c r="B26" s="8" t="inlineStr">
        <is>
          <t>Grand Hall</t>
        </is>
      </c>
      <c r="C26" s="4" t="n">
        <v>46305</v>
      </c>
      <c r="D26" s="8" t="inlineStr">
        <is>
          <t>Evening</t>
        </is>
      </c>
      <c r="E26" s="8" t="inlineStr">
        <is>
          <t>Completed</t>
        </is>
      </c>
      <c r="F26" s="4" t="n">
        <v>46223</v>
      </c>
      <c r="G26" s="9">
        <f>IF(AND(A26&lt;&gt;"",E26="Tentative"),F26+Settings!$B$5,"")</f>
        <v/>
      </c>
      <c r="H26" s="10" t="n">
        <v>600000</v>
      </c>
      <c r="I26" s="10" t="n">
        <v>600000</v>
      </c>
      <c r="J26" s="11">
        <f>IF(OR(A26="",H26=""),"",IF(H26=0,"",I26/H26))</f>
        <v/>
      </c>
      <c r="K26" s="12">
        <f>IF(OR(A26="",E26="Cancelled"),"",H26-I26)</f>
        <v/>
      </c>
      <c r="L26" s="13">
        <f>IF(OR(A26="",C26=""),"",C26-Settings!$B$4)</f>
        <v/>
      </c>
      <c r="M26" s="14">
        <f>IF(A26="","",IF(E26="Tentative",IF(G26&lt;Settings!$B$4,"Release hold or chase",IF(G26=Settings!$B$4,"Hold expires today","Hold running")),IF(E26="Cancelled","Closed",IF(J26&lt;Settings!$B$6,IF(E26="Completed","Check advance","Advance below minimum"),IF(AND(K26&gt;0,L26&lt;0),"Overdue balance",IF(AND(K26&gt;0,L26&lt;=15),"Balance due within 15 days","OK"))))))</f>
        <v/>
      </c>
      <c r="N26" s="13">
        <f>IF(C26="","",YEAR(C26)*100+MONTH(C26))</f>
        <v/>
      </c>
      <c r="O26" s="13">
        <f>IF(A26="",0,IF(OR(E26="Confirmed",E26="Completed"),IF(D26="Full day",Settings!$B$7,1),0))</f>
        <v/>
      </c>
      <c r="P26" s="12">
        <f>IF(O26&gt;0,H26,0)</f>
        <v/>
      </c>
      <c r="Q26" s="12">
        <f>IF(OR(E26="Confirmed",E26="Completed"),N(K26),0)</f>
        <v/>
      </c>
    </row>
    <row r="27">
      <c r="A27" s="8" t="inlineStr">
        <is>
          <t>B-022</t>
        </is>
      </c>
      <c r="B27" s="8" t="inlineStr">
        <is>
          <t>Garden Lawn</t>
        </is>
      </c>
      <c r="C27" s="4" t="n">
        <v>46403</v>
      </c>
      <c r="D27" s="8" t="inlineStr">
        <is>
          <t>Evening</t>
        </is>
      </c>
      <c r="E27" s="8" t="inlineStr">
        <is>
          <t>Confirmed</t>
        </is>
      </c>
      <c r="F27" s="4" t="n">
        <v>46307</v>
      </c>
      <c r="G27" s="9">
        <f>IF(AND(A27&lt;&gt;"",E27="Tentative"),F27+Settings!$B$5,"")</f>
        <v/>
      </c>
      <c r="H27" s="10" t="n">
        <v>590000</v>
      </c>
      <c r="I27" s="10" t="n">
        <v>180000</v>
      </c>
      <c r="J27" s="11">
        <f>IF(OR(A27="",H27=""),"",IF(H27=0,"",I27/H27))</f>
        <v/>
      </c>
      <c r="K27" s="12">
        <f>IF(OR(A27="",E27="Cancelled"),"",H27-I27)</f>
        <v/>
      </c>
      <c r="L27" s="13">
        <f>IF(OR(A27="",C27=""),"",C27-Settings!$B$4)</f>
        <v/>
      </c>
      <c r="M27" s="14">
        <f>IF(A27="","",IF(E27="Tentative",IF(G27&lt;Settings!$B$4,"Release hold or chase",IF(G27=Settings!$B$4,"Hold expires today","Hold running")),IF(E27="Cancelled","Closed",IF(J27&lt;Settings!$B$6,IF(E27="Completed","Check advance","Advance below minimum"),IF(AND(K27&gt;0,L27&lt;0),"Overdue balance",IF(AND(K27&gt;0,L27&lt;=15),"Balance due within 15 days","OK"))))))</f>
        <v/>
      </c>
      <c r="N27" s="13">
        <f>IF(C27="","",YEAR(C27)*100+MONTH(C27))</f>
        <v/>
      </c>
      <c r="O27" s="13">
        <f>IF(A27="",0,IF(OR(E27="Confirmed",E27="Completed"),IF(D27="Full day",Settings!$B$7,1),0))</f>
        <v/>
      </c>
      <c r="P27" s="12">
        <f>IF(O27&gt;0,H27,0)</f>
        <v/>
      </c>
      <c r="Q27" s="12">
        <f>IF(OR(E27="Confirmed",E27="Completed"),N(K27),0)</f>
        <v/>
      </c>
    </row>
    <row r="28">
      <c r="A28" s="8" t="n"/>
      <c r="B28" s="8" t="n"/>
      <c r="C28" s="4" t="n"/>
      <c r="D28" s="8" t="n"/>
      <c r="E28" s="8" t="n"/>
      <c r="F28" s="4" t="n"/>
      <c r="G28" s="9">
        <f>IF(AND(A28&lt;&gt;"",E28="Tentative"),F28+Settings!$B$5,"")</f>
        <v/>
      </c>
      <c r="H28" s="10" t="n"/>
      <c r="I28" s="10" t="n"/>
      <c r="J28" s="11">
        <f>IF(OR(A28="",H28=""),"",IF(H28=0,"",I28/H28))</f>
        <v/>
      </c>
      <c r="K28" s="12">
        <f>IF(OR(A28="",E28="Cancelled"),"",H28-I28)</f>
        <v/>
      </c>
      <c r="L28" s="13">
        <f>IF(OR(A28="",C28=""),"",C28-Settings!$B$4)</f>
        <v/>
      </c>
      <c r="M28" s="14">
        <f>IF(A28="","",IF(E28="Tentative",IF(G28&lt;Settings!$B$4,"Release hold or chase",IF(G28=Settings!$B$4,"Hold expires today","Hold running")),IF(E28="Cancelled","Closed",IF(J28&lt;Settings!$B$6,IF(E28="Completed","Check advance","Advance below minimum"),IF(AND(K28&gt;0,L28&lt;0),"Overdue balance",IF(AND(K28&gt;0,L28&lt;=15),"Balance due within 15 days","OK"))))))</f>
        <v/>
      </c>
      <c r="N28" s="13">
        <f>IF(C28="","",YEAR(C28)*100+MONTH(C28))</f>
        <v/>
      </c>
      <c r="O28" s="13">
        <f>IF(A28="",0,IF(OR(E28="Confirmed",E28="Completed"),IF(D28="Full day",Settings!$B$7,1),0))</f>
        <v/>
      </c>
      <c r="P28" s="12">
        <f>IF(O28&gt;0,H28,0)</f>
        <v/>
      </c>
      <c r="Q28" s="12">
        <f>IF(OR(E28="Confirmed",E28="Completed"),N(K28),0)</f>
        <v/>
      </c>
    </row>
    <row r="29">
      <c r="A29" s="8" t="n"/>
      <c r="B29" s="8" t="n"/>
      <c r="C29" s="4" t="n"/>
      <c r="D29" s="8" t="n"/>
      <c r="E29" s="8" t="n"/>
      <c r="F29" s="4" t="n"/>
      <c r="G29" s="9">
        <f>IF(AND(A29&lt;&gt;"",E29="Tentative"),F29+Settings!$B$5,"")</f>
        <v/>
      </c>
      <c r="H29" s="10" t="n"/>
      <c r="I29" s="10" t="n"/>
      <c r="J29" s="11">
        <f>IF(OR(A29="",H29=""),"",IF(H29=0,"",I29/H29))</f>
        <v/>
      </c>
      <c r="K29" s="12">
        <f>IF(OR(A29="",E29="Cancelled"),"",H29-I29)</f>
        <v/>
      </c>
      <c r="L29" s="13">
        <f>IF(OR(A29="",C29=""),"",C29-Settings!$B$4)</f>
        <v/>
      </c>
      <c r="M29" s="14">
        <f>IF(A29="","",IF(E29="Tentative",IF(G29&lt;Settings!$B$4,"Release hold or chase",IF(G29=Settings!$B$4,"Hold expires today","Hold running")),IF(E29="Cancelled","Closed",IF(J29&lt;Settings!$B$6,IF(E29="Completed","Check advance","Advance below minimum"),IF(AND(K29&gt;0,L29&lt;0),"Overdue balance",IF(AND(K29&gt;0,L29&lt;=15),"Balance due within 15 days","OK"))))))</f>
        <v/>
      </c>
      <c r="N29" s="13">
        <f>IF(C29="","",YEAR(C29)*100+MONTH(C29))</f>
        <v/>
      </c>
      <c r="O29" s="13">
        <f>IF(A29="",0,IF(OR(E29="Confirmed",E29="Completed"),IF(D29="Full day",Settings!$B$7,1),0))</f>
        <v/>
      </c>
      <c r="P29" s="12">
        <f>IF(O29&gt;0,H29,0)</f>
        <v/>
      </c>
      <c r="Q29" s="12">
        <f>IF(OR(E29="Confirmed",E29="Completed"),N(K29),0)</f>
        <v/>
      </c>
    </row>
    <row r="30">
      <c r="A30" s="8" t="n"/>
      <c r="B30" s="8" t="n"/>
      <c r="C30" s="4" t="n"/>
      <c r="D30" s="8" t="n"/>
      <c r="E30" s="8" t="n"/>
      <c r="F30" s="4" t="n"/>
      <c r="G30" s="9">
        <f>IF(AND(A30&lt;&gt;"",E30="Tentative"),F30+Settings!$B$5,"")</f>
        <v/>
      </c>
      <c r="H30" s="10" t="n"/>
      <c r="I30" s="10" t="n"/>
      <c r="J30" s="11">
        <f>IF(OR(A30="",H30=""),"",IF(H30=0,"",I30/H30))</f>
        <v/>
      </c>
      <c r="K30" s="12">
        <f>IF(OR(A30="",E30="Cancelled"),"",H30-I30)</f>
        <v/>
      </c>
      <c r="L30" s="13">
        <f>IF(OR(A30="",C30=""),"",C30-Settings!$B$4)</f>
        <v/>
      </c>
      <c r="M30" s="14">
        <f>IF(A30="","",IF(E30="Tentative",IF(G30&lt;Settings!$B$4,"Release hold or chase",IF(G30=Settings!$B$4,"Hold expires today","Hold running")),IF(E30="Cancelled","Closed",IF(J30&lt;Settings!$B$6,IF(E30="Completed","Check advance","Advance below minimum"),IF(AND(K30&gt;0,L30&lt;0),"Overdue balance",IF(AND(K30&gt;0,L30&lt;=15),"Balance due within 15 days","OK"))))))</f>
        <v/>
      </c>
      <c r="N30" s="13">
        <f>IF(C30="","",YEAR(C30)*100+MONTH(C30))</f>
        <v/>
      </c>
      <c r="O30" s="13">
        <f>IF(A30="",0,IF(OR(E30="Confirmed",E30="Completed"),IF(D30="Full day",Settings!$B$7,1),0))</f>
        <v/>
      </c>
      <c r="P30" s="12">
        <f>IF(O30&gt;0,H30,0)</f>
        <v/>
      </c>
      <c r="Q30" s="12">
        <f>IF(OR(E30="Confirmed",E30="Completed"),N(K30),0)</f>
        <v/>
      </c>
    </row>
    <row r="31">
      <c r="A31" s="8" t="n"/>
      <c r="B31" s="8" t="n"/>
      <c r="C31" s="4" t="n"/>
      <c r="D31" s="8" t="n"/>
      <c r="E31" s="8" t="n"/>
      <c r="F31" s="4" t="n"/>
      <c r="G31" s="9">
        <f>IF(AND(A31&lt;&gt;"",E31="Tentative"),F31+Settings!$B$5,"")</f>
        <v/>
      </c>
      <c r="H31" s="10" t="n"/>
      <c r="I31" s="10" t="n"/>
      <c r="J31" s="11">
        <f>IF(OR(A31="",H31=""),"",IF(H31=0,"",I31/H31))</f>
        <v/>
      </c>
      <c r="K31" s="12">
        <f>IF(OR(A31="",E31="Cancelled"),"",H31-I31)</f>
        <v/>
      </c>
      <c r="L31" s="13">
        <f>IF(OR(A31="",C31=""),"",C31-Settings!$B$4)</f>
        <v/>
      </c>
      <c r="M31" s="14">
        <f>IF(A31="","",IF(E31="Tentative",IF(G31&lt;Settings!$B$4,"Release hold or chase",IF(G31=Settings!$B$4,"Hold expires today","Hold running")),IF(E31="Cancelled","Closed",IF(J31&lt;Settings!$B$6,IF(E31="Completed","Check advance","Advance below minimum"),IF(AND(K31&gt;0,L31&lt;0),"Overdue balance",IF(AND(K31&gt;0,L31&lt;=15),"Balance due within 15 days","OK"))))))</f>
        <v/>
      </c>
      <c r="N31" s="13">
        <f>IF(C31="","",YEAR(C31)*100+MONTH(C31))</f>
        <v/>
      </c>
      <c r="O31" s="13">
        <f>IF(A31="",0,IF(OR(E31="Confirmed",E31="Completed"),IF(D31="Full day",Settings!$B$7,1),0))</f>
        <v/>
      </c>
      <c r="P31" s="12">
        <f>IF(O31&gt;0,H31,0)</f>
        <v/>
      </c>
      <c r="Q31" s="12">
        <f>IF(OR(E31="Confirmed",E31="Completed"),N(K31),0)</f>
        <v/>
      </c>
    </row>
    <row r="32">
      <c r="A32" s="8" t="n"/>
      <c r="B32" s="8" t="n"/>
      <c r="C32" s="4" t="n"/>
      <c r="D32" s="8" t="n"/>
      <c r="E32" s="8" t="n"/>
      <c r="F32" s="4" t="n"/>
      <c r="G32" s="9">
        <f>IF(AND(A32&lt;&gt;"",E32="Tentative"),F32+Settings!$B$5,"")</f>
        <v/>
      </c>
      <c r="H32" s="10" t="n"/>
      <c r="I32" s="10" t="n"/>
      <c r="J32" s="11">
        <f>IF(OR(A32="",H32=""),"",IF(H32=0,"",I32/H32))</f>
        <v/>
      </c>
      <c r="K32" s="12">
        <f>IF(OR(A32="",E32="Cancelled"),"",H32-I32)</f>
        <v/>
      </c>
      <c r="L32" s="13">
        <f>IF(OR(A32="",C32=""),"",C32-Settings!$B$4)</f>
        <v/>
      </c>
      <c r="M32" s="14">
        <f>IF(A32="","",IF(E32="Tentative",IF(G32&lt;Settings!$B$4,"Release hold or chase",IF(G32=Settings!$B$4,"Hold expires today","Hold running")),IF(E32="Cancelled","Closed",IF(J32&lt;Settings!$B$6,IF(E32="Completed","Check advance","Advance below minimum"),IF(AND(K32&gt;0,L32&lt;0),"Overdue balance",IF(AND(K32&gt;0,L32&lt;=15),"Balance due within 15 days","OK"))))))</f>
        <v/>
      </c>
      <c r="N32" s="13">
        <f>IF(C32="","",YEAR(C32)*100+MONTH(C32))</f>
        <v/>
      </c>
      <c r="O32" s="13">
        <f>IF(A32="",0,IF(OR(E32="Confirmed",E32="Completed"),IF(D32="Full day",Settings!$B$7,1),0))</f>
        <v/>
      </c>
      <c r="P32" s="12">
        <f>IF(O32&gt;0,H32,0)</f>
        <v/>
      </c>
      <c r="Q32" s="12">
        <f>IF(OR(E32="Confirmed",E32="Completed"),N(K32),0)</f>
        <v/>
      </c>
    </row>
    <row r="33">
      <c r="A33" s="8" t="n"/>
      <c r="B33" s="8" t="n"/>
      <c r="C33" s="4" t="n"/>
      <c r="D33" s="8" t="n"/>
      <c r="E33" s="8" t="n"/>
      <c r="F33" s="4" t="n"/>
      <c r="G33" s="9">
        <f>IF(AND(A33&lt;&gt;"",E33="Tentative"),F33+Settings!$B$5,"")</f>
        <v/>
      </c>
      <c r="H33" s="10" t="n"/>
      <c r="I33" s="10" t="n"/>
      <c r="J33" s="11">
        <f>IF(OR(A33="",H33=""),"",IF(H33=0,"",I33/H33))</f>
        <v/>
      </c>
      <c r="K33" s="12">
        <f>IF(OR(A33="",E33="Cancelled"),"",H33-I33)</f>
        <v/>
      </c>
      <c r="L33" s="13">
        <f>IF(OR(A33="",C33=""),"",C33-Settings!$B$4)</f>
        <v/>
      </c>
      <c r="M33" s="14">
        <f>IF(A33="","",IF(E33="Tentative",IF(G33&lt;Settings!$B$4,"Release hold or chase",IF(G33=Settings!$B$4,"Hold expires today","Hold running")),IF(E33="Cancelled","Closed",IF(J33&lt;Settings!$B$6,IF(E33="Completed","Check advance","Advance below minimum"),IF(AND(K33&gt;0,L33&lt;0),"Overdue balance",IF(AND(K33&gt;0,L33&lt;=15),"Balance due within 15 days","OK"))))))</f>
        <v/>
      </c>
      <c r="N33" s="13">
        <f>IF(C33="","",YEAR(C33)*100+MONTH(C33))</f>
        <v/>
      </c>
      <c r="O33" s="13">
        <f>IF(A33="",0,IF(OR(E33="Confirmed",E33="Completed"),IF(D33="Full day",Settings!$B$7,1),0))</f>
        <v/>
      </c>
      <c r="P33" s="12">
        <f>IF(O33&gt;0,H33,0)</f>
        <v/>
      </c>
      <c r="Q33" s="12">
        <f>IF(OR(E33="Confirmed",E33="Completed"),N(K33),0)</f>
        <v/>
      </c>
    </row>
    <row r="34">
      <c r="A34" s="8" t="n"/>
      <c r="B34" s="8" t="n"/>
      <c r="C34" s="4" t="n"/>
      <c r="D34" s="8" t="n"/>
      <c r="E34" s="8" t="n"/>
      <c r="F34" s="4" t="n"/>
      <c r="G34" s="9">
        <f>IF(AND(A34&lt;&gt;"",E34="Tentative"),F34+Settings!$B$5,"")</f>
        <v/>
      </c>
      <c r="H34" s="10" t="n"/>
      <c r="I34" s="10" t="n"/>
      <c r="J34" s="11">
        <f>IF(OR(A34="",H34=""),"",IF(H34=0,"",I34/H34))</f>
        <v/>
      </c>
      <c r="K34" s="12">
        <f>IF(OR(A34="",E34="Cancelled"),"",H34-I34)</f>
        <v/>
      </c>
      <c r="L34" s="13">
        <f>IF(OR(A34="",C34=""),"",C34-Settings!$B$4)</f>
        <v/>
      </c>
      <c r="M34" s="14">
        <f>IF(A34="","",IF(E34="Tentative",IF(G34&lt;Settings!$B$4,"Release hold or chase",IF(G34=Settings!$B$4,"Hold expires today","Hold running")),IF(E34="Cancelled","Closed",IF(J34&lt;Settings!$B$6,IF(E34="Completed","Check advance","Advance below minimum"),IF(AND(K34&gt;0,L34&lt;0),"Overdue balance",IF(AND(K34&gt;0,L34&lt;=15),"Balance due within 15 days","OK"))))))</f>
        <v/>
      </c>
      <c r="N34" s="13">
        <f>IF(C34="","",YEAR(C34)*100+MONTH(C34))</f>
        <v/>
      </c>
      <c r="O34" s="13">
        <f>IF(A34="",0,IF(OR(E34="Confirmed",E34="Completed"),IF(D34="Full day",Settings!$B$7,1),0))</f>
        <v/>
      </c>
      <c r="P34" s="12">
        <f>IF(O34&gt;0,H34,0)</f>
        <v/>
      </c>
      <c r="Q34" s="12">
        <f>IF(OR(E34="Confirmed",E34="Completed"),N(K34),0)</f>
        <v/>
      </c>
    </row>
    <row r="35">
      <c r="A35" s="8" t="n"/>
      <c r="B35" s="8" t="n"/>
      <c r="C35" s="4" t="n"/>
      <c r="D35" s="8" t="n"/>
      <c r="E35" s="8" t="n"/>
      <c r="F35" s="4" t="n"/>
      <c r="G35" s="9">
        <f>IF(AND(A35&lt;&gt;"",E35="Tentative"),F35+Settings!$B$5,"")</f>
        <v/>
      </c>
      <c r="H35" s="10" t="n"/>
      <c r="I35" s="10" t="n"/>
      <c r="J35" s="11">
        <f>IF(OR(A35="",H35=""),"",IF(H35=0,"",I35/H35))</f>
        <v/>
      </c>
      <c r="K35" s="12">
        <f>IF(OR(A35="",E35="Cancelled"),"",H35-I35)</f>
        <v/>
      </c>
      <c r="L35" s="13">
        <f>IF(OR(A35="",C35=""),"",C35-Settings!$B$4)</f>
        <v/>
      </c>
      <c r="M35" s="14">
        <f>IF(A35="","",IF(E35="Tentative",IF(G35&lt;Settings!$B$4,"Release hold or chase",IF(G35=Settings!$B$4,"Hold expires today","Hold running")),IF(E35="Cancelled","Closed",IF(J35&lt;Settings!$B$6,IF(E35="Completed","Check advance","Advance below minimum"),IF(AND(K35&gt;0,L35&lt;0),"Overdue balance",IF(AND(K35&gt;0,L35&lt;=15),"Balance due within 15 days","OK"))))))</f>
        <v/>
      </c>
      <c r="N35" s="13">
        <f>IF(C35="","",YEAR(C35)*100+MONTH(C35))</f>
        <v/>
      </c>
      <c r="O35" s="13">
        <f>IF(A35="",0,IF(OR(E35="Confirmed",E35="Completed"),IF(D35="Full day",Settings!$B$7,1),0))</f>
        <v/>
      </c>
      <c r="P35" s="12">
        <f>IF(O35&gt;0,H35,0)</f>
        <v/>
      </c>
      <c r="Q35" s="12">
        <f>IF(OR(E35="Confirmed",E35="Completed"),N(K35),0)</f>
        <v/>
      </c>
    </row>
    <row r="36">
      <c r="A36" s="8" t="n"/>
      <c r="B36" s="8" t="n"/>
      <c r="C36" s="4" t="n"/>
      <c r="D36" s="8" t="n"/>
      <c r="E36" s="8" t="n"/>
      <c r="F36" s="4" t="n"/>
      <c r="G36" s="9">
        <f>IF(AND(A36&lt;&gt;"",E36="Tentative"),F36+Settings!$B$5,"")</f>
        <v/>
      </c>
      <c r="H36" s="10" t="n"/>
      <c r="I36" s="10" t="n"/>
      <c r="J36" s="11">
        <f>IF(OR(A36="",H36=""),"",IF(H36=0,"",I36/H36))</f>
        <v/>
      </c>
      <c r="K36" s="12">
        <f>IF(OR(A36="",E36="Cancelled"),"",H36-I36)</f>
        <v/>
      </c>
      <c r="L36" s="13">
        <f>IF(OR(A36="",C36=""),"",C36-Settings!$B$4)</f>
        <v/>
      </c>
      <c r="M36" s="14">
        <f>IF(A36="","",IF(E36="Tentative",IF(G36&lt;Settings!$B$4,"Release hold or chase",IF(G36=Settings!$B$4,"Hold expires today","Hold running")),IF(E36="Cancelled","Closed",IF(J36&lt;Settings!$B$6,IF(E36="Completed","Check advance","Advance below minimum"),IF(AND(K36&gt;0,L36&lt;0),"Overdue balance",IF(AND(K36&gt;0,L36&lt;=15),"Balance due within 15 days","OK"))))))</f>
        <v/>
      </c>
      <c r="N36" s="13">
        <f>IF(C36="","",YEAR(C36)*100+MONTH(C36))</f>
        <v/>
      </c>
      <c r="O36" s="13">
        <f>IF(A36="",0,IF(OR(E36="Confirmed",E36="Completed"),IF(D36="Full day",Settings!$B$7,1),0))</f>
        <v/>
      </c>
      <c r="P36" s="12">
        <f>IF(O36&gt;0,H36,0)</f>
        <v/>
      </c>
      <c r="Q36" s="12">
        <f>IF(OR(E36="Confirmed",E36="Completed"),N(K36),0)</f>
        <v/>
      </c>
    </row>
    <row r="37">
      <c r="A37" s="8" t="n"/>
      <c r="B37" s="8" t="n"/>
      <c r="C37" s="4" t="n"/>
      <c r="D37" s="8" t="n"/>
      <c r="E37" s="8" t="n"/>
      <c r="F37" s="4" t="n"/>
      <c r="G37" s="9">
        <f>IF(AND(A37&lt;&gt;"",E37="Tentative"),F37+Settings!$B$5,"")</f>
        <v/>
      </c>
      <c r="H37" s="10" t="n"/>
      <c r="I37" s="10" t="n"/>
      <c r="J37" s="11">
        <f>IF(OR(A37="",H37=""),"",IF(H37=0,"",I37/H37))</f>
        <v/>
      </c>
      <c r="K37" s="12">
        <f>IF(OR(A37="",E37="Cancelled"),"",H37-I37)</f>
        <v/>
      </c>
      <c r="L37" s="13">
        <f>IF(OR(A37="",C37=""),"",C37-Settings!$B$4)</f>
        <v/>
      </c>
      <c r="M37" s="14">
        <f>IF(A37="","",IF(E37="Tentative",IF(G37&lt;Settings!$B$4,"Release hold or chase",IF(G37=Settings!$B$4,"Hold expires today","Hold running")),IF(E37="Cancelled","Closed",IF(J37&lt;Settings!$B$6,IF(E37="Completed","Check advance","Advance below minimum"),IF(AND(K37&gt;0,L37&lt;0),"Overdue balance",IF(AND(K37&gt;0,L37&lt;=15),"Balance due within 15 days","OK"))))))</f>
        <v/>
      </c>
      <c r="N37" s="13">
        <f>IF(C37="","",YEAR(C37)*100+MONTH(C37))</f>
        <v/>
      </c>
      <c r="O37" s="13">
        <f>IF(A37="",0,IF(OR(E37="Confirmed",E37="Completed"),IF(D37="Full day",Settings!$B$7,1),0))</f>
        <v/>
      </c>
      <c r="P37" s="12">
        <f>IF(O37&gt;0,H37,0)</f>
        <v/>
      </c>
      <c r="Q37" s="12">
        <f>IF(OR(E37="Confirmed",E37="Completed"),N(K37),0)</f>
        <v/>
      </c>
    </row>
    <row r="38">
      <c r="A38" s="8" t="n"/>
      <c r="B38" s="8" t="n"/>
      <c r="C38" s="4" t="n"/>
      <c r="D38" s="8" t="n"/>
      <c r="E38" s="8" t="n"/>
      <c r="F38" s="4" t="n"/>
      <c r="G38" s="9">
        <f>IF(AND(A38&lt;&gt;"",E38="Tentative"),F38+Settings!$B$5,"")</f>
        <v/>
      </c>
      <c r="H38" s="10" t="n"/>
      <c r="I38" s="10" t="n"/>
      <c r="J38" s="11">
        <f>IF(OR(A38="",H38=""),"",IF(H38=0,"",I38/H38))</f>
        <v/>
      </c>
      <c r="K38" s="12">
        <f>IF(OR(A38="",E38="Cancelled"),"",H38-I38)</f>
        <v/>
      </c>
      <c r="L38" s="13">
        <f>IF(OR(A38="",C38=""),"",C38-Settings!$B$4)</f>
        <v/>
      </c>
      <c r="M38" s="14">
        <f>IF(A38="","",IF(E38="Tentative",IF(G38&lt;Settings!$B$4,"Release hold or chase",IF(G38=Settings!$B$4,"Hold expires today","Hold running")),IF(E38="Cancelled","Closed",IF(J38&lt;Settings!$B$6,IF(E38="Completed","Check advance","Advance below minimum"),IF(AND(K38&gt;0,L38&lt;0),"Overdue balance",IF(AND(K38&gt;0,L38&lt;=15),"Balance due within 15 days","OK"))))))</f>
        <v/>
      </c>
      <c r="N38" s="13">
        <f>IF(C38="","",YEAR(C38)*100+MONTH(C38))</f>
        <v/>
      </c>
      <c r="O38" s="13">
        <f>IF(A38="",0,IF(OR(E38="Confirmed",E38="Completed"),IF(D38="Full day",Settings!$B$7,1),0))</f>
        <v/>
      </c>
      <c r="P38" s="12">
        <f>IF(O38&gt;0,H38,0)</f>
        <v/>
      </c>
      <c r="Q38" s="12">
        <f>IF(OR(E38="Confirmed",E38="Completed"),N(K38),0)</f>
        <v/>
      </c>
    </row>
    <row r="39">
      <c r="A39" s="8" t="n"/>
      <c r="B39" s="8" t="n"/>
      <c r="C39" s="4" t="n"/>
      <c r="D39" s="8" t="n"/>
      <c r="E39" s="8" t="n"/>
      <c r="F39" s="4" t="n"/>
      <c r="G39" s="9">
        <f>IF(AND(A39&lt;&gt;"",E39="Tentative"),F39+Settings!$B$5,"")</f>
        <v/>
      </c>
      <c r="H39" s="10" t="n"/>
      <c r="I39" s="10" t="n"/>
      <c r="J39" s="11">
        <f>IF(OR(A39="",H39=""),"",IF(H39=0,"",I39/H39))</f>
        <v/>
      </c>
      <c r="K39" s="12">
        <f>IF(OR(A39="",E39="Cancelled"),"",H39-I39)</f>
        <v/>
      </c>
      <c r="L39" s="13">
        <f>IF(OR(A39="",C39=""),"",C39-Settings!$B$4)</f>
        <v/>
      </c>
      <c r="M39" s="14">
        <f>IF(A39="","",IF(E39="Tentative",IF(G39&lt;Settings!$B$4,"Release hold or chase",IF(G39=Settings!$B$4,"Hold expires today","Hold running")),IF(E39="Cancelled","Closed",IF(J39&lt;Settings!$B$6,IF(E39="Completed","Check advance","Advance below minimum"),IF(AND(K39&gt;0,L39&lt;0),"Overdue balance",IF(AND(K39&gt;0,L39&lt;=15),"Balance due within 15 days","OK"))))))</f>
        <v/>
      </c>
      <c r="N39" s="13">
        <f>IF(C39="","",YEAR(C39)*100+MONTH(C39))</f>
        <v/>
      </c>
      <c r="O39" s="13">
        <f>IF(A39="",0,IF(OR(E39="Confirmed",E39="Completed"),IF(D39="Full day",Settings!$B$7,1),0))</f>
        <v/>
      </c>
      <c r="P39" s="12">
        <f>IF(O39&gt;0,H39,0)</f>
        <v/>
      </c>
      <c r="Q39" s="12">
        <f>IF(OR(E39="Confirmed",E39="Completed"),N(K39),0)</f>
        <v/>
      </c>
    </row>
    <row r="40">
      <c r="A40" s="8" t="n"/>
      <c r="B40" s="8" t="n"/>
      <c r="C40" s="4" t="n"/>
      <c r="D40" s="8" t="n"/>
      <c r="E40" s="8" t="n"/>
      <c r="F40" s="4" t="n"/>
      <c r="G40" s="9">
        <f>IF(AND(A40&lt;&gt;"",E40="Tentative"),F40+Settings!$B$5,"")</f>
        <v/>
      </c>
      <c r="H40" s="10" t="n"/>
      <c r="I40" s="10" t="n"/>
      <c r="J40" s="11">
        <f>IF(OR(A40="",H40=""),"",IF(H40=0,"",I40/H40))</f>
        <v/>
      </c>
      <c r="K40" s="12">
        <f>IF(OR(A40="",E40="Cancelled"),"",H40-I40)</f>
        <v/>
      </c>
      <c r="L40" s="13">
        <f>IF(OR(A40="",C40=""),"",C40-Settings!$B$4)</f>
        <v/>
      </c>
      <c r="M40" s="14">
        <f>IF(A40="","",IF(E40="Tentative",IF(G40&lt;Settings!$B$4,"Release hold or chase",IF(G40=Settings!$B$4,"Hold expires today","Hold running")),IF(E40="Cancelled","Closed",IF(J40&lt;Settings!$B$6,IF(E40="Completed","Check advance","Advance below minimum"),IF(AND(K40&gt;0,L40&lt;0),"Overdue balance",IF(AND(K40&gt;0,L40&lt;=15),"Balance due within 15 days","OK"))))))</f>
        <v/>
      </c>
      <c r="N40" s="13">
        <f>IF(C40="","",YEAR(C40)*100+MONTH(C40))</f>
        <v/>
      </c>
      <c r="O40" s="13">
        <f>IF(A40="",0,IF(OR(E40="Confirmed",E40="Completed"),IF(D40="Full day",Settings!$B$7,1),0))</f>
        <v/>
      </c>
      <c r="P40" s="12">
        <f>IF(O40&gt;0,H40,0)</f>
        <v/>
      </c>
      <c r="Q40" s="12">
        <f>IF(OR(E40="Confirmed",E40="Completed"),N(K40),0)</f>
        <v/>
      </c>
    </row>
    <row r="41">
      <c r="A41" s="8" t="n"/>
      <c r="B41" s="8" t="n"/>
      <c r="C41" s="4" t="n"/>
      <c r="D41" s="8" t="n"/>
      <c r="E41" s="8" t="n"/>
      <c r="F41" s="4" t="n"/>
      <c r="G41" s="9">
        <f>IF(AND(A41&lt;&gt;"",E41="Tentative"),F41+Settings!$B$5,"")</f>
        <v/>
      </c>
      <c r="H41" s="10" t="n"/>
      <c r="I41" s="10" t="n"/>
      <c r="J41" s="11">
        <f>IF(OR(A41="",H41=""),"",IF(H41=0,"",I41/H41))</f>
        <v/>
      </c>
      <c r="K41" s="12">
        <f>IF(OR(A41="",E41="Cancelled"),"",H41-I41)</f>
        <v/>
      </c>
      <c r="L41" s="13">
        <f>IF(OR(A41="",C41=""),"",C41-Settings!$B$4)</f>
        <v/>
      </c>
      <c r="M41" s="14">
        <f>IF(A41="","",IF(E41="Tentative",IF(G41&lt;Settings!$B$4,"Release hold or chase",IF(G41=Settings!$B$4,"Hold expires today","Hold running")),IF(E41="Cancelled","Closed",IF(J41&lt;Settings!$B$6,IF(E41="Completed","Check advance","Advance below minimum"),IF(AND(K41&gt;0,L41&lt;0),"Overdue balance",IF(AND(K41&gt;0,L41&lt;=15),"Balance due within 15 days","OK"))))))</f>
        <v/>
      </c>
      <c r="N41" s="13">
        <f>IF(C41="","",YEAR(C41)*100+MONTH(C41))</f>
        <v/>
      </c>
      <c r="O41" s="13">
        <f>IF(A41="",0,IF(OR(E41="Confirmed",E41="Completed"),IF(D41="Full day",Settings!$B$7,1),0))</f>
        <v/>
      </c>
      <c r="P41" s="12">
        <f>IF(O41&gt;0,H41,0)</f>
        <v/>
      </c>
      <c r="Q41" s="12">
        <f>IF(OR(E41="Confirmed",E41="Completed"),N(K41),0)</f>
        <v/>
      </c>
    </row>
    <row r="42">
      <c r="A42" s="8" t="n"/>
      <c r="B42" s="8" t="n"/>
      <c r="C42" s="4" t="n"/>
      <c r="D42" s="8" t="n"/>
      <c r="E42" s="8" t="n"/>
      <c r="F42" s="4" t="n"/>
      <c r="G42" s="9">
        <f>IF(AND(A42&lt;&gt;"",E42="Tentative"),F42+Settings!$B$5,"")</f>
        <v/>
      </c>
      <c r="H42" s="10" t="n"/>
      <c r="I42" s="10" t="n"/>
      <c r="J42" s="11">
        <f>IF(OR(A42="",H42=""),"",IF(H42=0,"",I42/H42))</f>
        <v/>
      </c>
      <c r="K42" s="12">
        <f>IF(OR(A42="",E42="Cancelled"),"",H42-I42)</f>
        <v/>
      </c>
      <c r="L42" s="13">
        <f>IF(OR(A42="",C42=""),"",C42-Settings!$B$4)</f>
        <v/>
      </c>
      <c r="M42" s="14">
        <f>IF(A42="","",IF(E42="Tentative",IF(G42&lt;Settings!$B$4,"Release hold or chase",IF(G42=Settings!$B$4,"Hold expires today","Hold running")),IF(E42="Cancelled","Closed",IF(J42&lt;Settings!$B$6,IF(E42="Completed","Check advance","Advance below minimum"),IF(AND(K42&gt;0,L42&lt;0),"Overdue balance",IF(AND(K42&gt;0,L42&lt;=15),"Balance due within 15 days","OK"))))))</f>
        <v/>
      </c>
      <c r="N42" s="13">
        <f>IF(C42="","",YEAR(C42)*100+MONTH(C42))</f>
        <v/>
      </c>
      <c r="O42" s="13">
        <f>IF(A42="",0,IF(OR(E42="Confirmed",E42="Completed"),IF(D42="Full day",Settings!$B$7,1),0))</f>
        <v/>
      </c>
      <c r="P42" s="12">
        <f>IF(O42&gt;0,H42,0)</f>
        <v/>
      </c>
      <c r="Q42" s="12">
        <f>IF(OR(E42="Confirmed",E42="Completed"),N(K42),0)</f>
        <v/>
      </c>
    </row>
    <row r="43">
      <c r="A43" s="8" t="n"/>
      <c r="B43" s="8" t="n"/>
      <c r="C43" s="4" t="n"/>
      <c r="D43" s="8" t="n"/>
      <c r="E43" s="8" t="n"/>
      <c r="F43" s="4" t="n"/>
      <c r="G43" s="9">
        <f>IF(AND(A43&lt;&gt;"",E43="Tentative"),F43+Settings!$B$5,"")</f>
        <v/>
      </c>
      <c r="H43" s="10" t="n"/>
      <c r="I43" s="10" t="n"/>
      <c r="J43" s="11">
        <f>IF(OR(A43="",H43=""),"",IF(H43=0,"",I43/H43))</f>
        <v/>
      </c>
      <c r="K43" s="12">
        <f>IF(OR(A43="",E43="Cancelled"),"",H43-I43)</f>
        <v/>
      </c>
      <c r="L43" s="13">
        <f>IF(OR(A43="",C43=""),"",C43-Settings!$B$4)</f>
        <v/>
      </c>
      <c r="M43" s="14">
        <f>IF(A43="","",IF(E43="Tentative",IF(G43&lt;Settings!$B$4,"Release hold or chase",IF(G43=Settings!$B$4,"Hold expires today","Hold running")),IF(E43="Cancelled","Closed",IF(J43&lt;Settings!$B$6,IF(E43="Completed","Check advance","Advance below minimum"),IF(AND(K43&gt;0,L43&lt;0),"Overdue balance",IF(AND(K43&gt;0,L43&lt;=15),"Balance due within 15 days","OK"))))))</f>
        <v/>
      </c>
      <c r="N43" s="13">
        <f>IF(C43="","",YEAR(C43)*100+MONTH(C43))</f>
        <v/>
      </c>
      <c r="O43" s="13">
        <f>IF(A43="",0,IF(OR(E43="Confirmed",E43="Completed"),IF(D43="Full day",Settings!$B$7,1),0))</f>
        <v/>
      </c>
      <c r="P43" s="12">
        <f>IF(O43&gt;0,H43,0)</f>
        <v/>
      </c>
      <c r="Q43" s="12">
        <f>IF(OR(E43="Confirmed",E43="Completed"),N(K43),0)</f>
        <v/>
      </c>
    </row>
    <row r="44">
      <c r="A44" s="8" t="n"/>
      <c r="B44" s="8" t="n"/>
      <c r="C44" s="4" t="n"/>
      <c r="D44" s="8" t="n"/>
      <c r="E44" s="8" t="n"/>
      <c r="F44" s="4" t="n"/>
      <c r="G44" s="9">
        <f>IF(AND(A44&lt;&gt;"",E44="Tentative"),F44+Settings!$B$5,"")</f>
        <v/>
      </c>
      <c r="H44" s="10" t="n"/>
      <c r="I44" s="10" t="n"/>
      <c r="J44" s="11">
        <f>IF(OR(A44="",H44=""),"",IF(H44=0,"",I44/H44))</f>
        <v/>
      </c>
      <c r="K44" s="12">
        <f>IF(OR(A44="",E44="Cancelled"),"",H44-I44)</f>
        <v/>
      </c>
      <c r="L44" s="13">
        <f>IF(OR(A44="",C44=""),"",C44-Settings!$B$4)</f>
        <v/>
      </c>
      <c r="M44" s="14">
        <f>IF(A44="","",IF(E44="Tentative",IF(G44&lt;Settings!$B$4,"Release hold or chase",IF(G44=Settings!$B$4,"Hold expires today","Hold running")),IF(E44="Cancelled","Closed",IF(J44&lt;Settings!$B$6,IF(E44="Completed","Check advance","Advance below minimum"),IF(AND(K44&gt;0,L44&lt;0),"Overdue balance",IF(AND(K44&gt;0,L44&lt;=15),"Balance due within 15 days","OK"))))))</f>
        <v/>
      </c>
      <c r="N44" s="13">
        <f>IF(C44="","",YEAR(C44)*100+MONTH(C44))</f>
        <v/>
      </c>
      <c r="O44" s="13">
        <f>IF(A44="",0,IF(OR(E44="Confirmed",E44="Completed"),IF(D44="Full day",Settings!$B$7,1),0))</f>
        <v/>
      </c>
      <c r="P44" s="12">
        <f>IF(O44&gt;0,H44,0)</f>
        <v/>
      </c>
      <c r="Q44" s="12">
        <f>IF(OR(E44="Confirmed",E44="Completed"),N(K44),0)</f>
        <v/>
      </c>
    </row>
    <row r="45">
      <c r="A45" s="8" t="n"/>
      <c r="B45" s="8" t="n"/>
      <c r="C45" s="4" t="n"/>
      <c r="D45" s="8" t="n"/>
      <c r="E45" s="8" t="n"/>
      <c r="F45" s="4" t="n"/>
      <c r="G45" s="9">
        <f>IF(AND(A45&lt;&gt;"",E45="Tentative"),F45+Settings!$B$5,"")</f>
        <v/>
      </c>
      <c r="H45" s="10" t="n"/>
      <c r="I45" s="10" t="n"/>
      <c r="J45" s="11">
        <f>IF(OR(A45="",H45=""),"",IF(H45=0,"",I45/H45))</f>
        <v/>
      </c>
      <c r="K45" s="12">
        <f>IF(OR(A45="",E45="Cancelled"),"",H45-I45)</f>
        <v/>
      </c>
      <c r="L45" s="13">
        <f>IF(OR(A45="",C45=""),"",C45-Settings!$B$4)</f>
        <v/>
      </c>
      <c r="M45" s="14">
        <f>IF(A45="","",IF(E45="Tentative",IF(G45&lt;Settings!$B$4,"Release hold or chase",IF(G45=Settings!$B$4,"Hold expires today","Hold running")),IF(E45="Cancelled","Closed",IF(J45&lt;Settings!$B$6,IF(E45="Completed","Check advance","Advance below minimum"),IF(AND(K45&gt;0,L45&lt;0),"Overdue balance",IF(AND(K45&gt;0,L45&lt;=15),"Balance due within 15 days","OK"))))))</f>
        <v/>
      </c>
      <c r="N45" s="13">
        <f>IF(C45="","",YEAR(C45)*100+MONTH(C45))</f>
        <v/>
      </c>
      <c r="O45" s="13">
        <f>IF(A45="",0,IF(OR(E45="Confirmed",E45="Completed"),IF(D45="Full day",Settings!$B$7,1),0))</f>
        <v/>
      </c>
      <c r="P45" s="12">
        <f>IF(O45&gt;0,H45,0)</f>
        <v/>
      </c>
      <c r="Q45" s="12">
        <f>IF(OR(E45="Confirmed",E45="Completed"),N(K45),0)</f>
        <v/>
      </c>
    </row>
    <row r="46">
      <c r="A46" s="8" t="n"/>
      <c r="B46" s="8" t="n"/>
      <c r="C46" s="4" t="n"/>
      <c r="D46" s="8" t="n"/>
      <c r="E46" s="8" t="n"/>
      <c r="F46" s="4" t="n"/>
      <c r="G46" s="9">
        <f>IF(AND(A46&lt;&gt;"",E46="Tentative"),F46+Settings!$B$5,"")</f>
        <v/>
      </c>
      <c r="H46" s="10" t="n"/>
      <c r="I46" s="10" t="n"/>
      <c r="J46" s="11">
        <f>IF(OR(A46="",H46=""),"",IF(H46=0,"",I46/H46))</f>
        <v/>
      </c>
      <c r="K46" s="12">
        <f>IF(OR(A46="",E46="Cancelled"),"",H46-I46)</f>
        <v/>
      </c>
      <c r="L46" s="13">
        <f>IF(OR(A46="",C46=""),"",C46-Settings!$B$4)</f>
        <v/>
      </c>
      <c r="M46" s="14">
        <f>IF(A46="","",IF(E46="Tentative",IF(G46&lt;Settings!$B$4,"Release hold or chase",IF(G46=Settings!$B$4,"Hold expires today","Hold running")),IF(E46="Cancelled","Closed",IF(J46&lt;Settings!$B$6,IF(E46="Completed","Check advance","Advance below minimum"),IF(AND(K46&gt;0,L46&lt;0),"Overdue balance",IF(AND(K46&gt;0,L46&lt;=15),"Balance due within 15 days","OK"))))))</f>
        <v/>
      </c>
      <c r="N46" s="13">
        <f>IF(C46="","",YEAR(C46)*100+MONTH(C46))</f>
        <v/>
      </c>
      <c r="O46" s="13">
        <f>IF(A46="",0,IF(OR(E46="Confirmed",E46="Completed"),IF(D46="Full day",Settings!$B$7,1),0))</f>
        <v/>
      </c>
      <c r="P46" s="12">
        <f>IF(O46&gt;0,H46,0)</f>
        <v/>
      </c>
      <c r="Q46" s="12">
        <f>IF(OR(E46="Confirmed",E46="Completed"),N(K46),0)</f>
        <v/>
      </c>
    </row>
    <row r="47">
      <c r="A47" s="8" t="n"/>
      <c r="B47" s="8" t="n"/>
      <c r="C47" s="4" t="n"/>
      <c r="D47" s="8" t="n"/>
      <c r="E47" s="8" t="n"/>
      <c r="F47" s="4" t="n"/>
      <c r="G47" s="9">
        <f>IF(AND(A47&lt;&gt;"",E47="Tentative"),F47+Settings!$B$5,"")</f>
        <v/>
      </c>
      <c r="H47" s="10" t="n"/>
      <c r="I47" s="10" t="n"/>
      <c r="J47" s="11">
        <f>IF(OR(A47="",H47=""),"",IF(H47=0,"",I47/H47))</f>
        <v/>
      </c>
      <c r="K47" s="12">
        <f>IF(OR(A47="",E47="Cancelled"),"",H47-I47)</f>
        <v/>
      </c>
      <c r="L47" s="13">
        <f>IF(OR(A47="",C47=""),"",C47-Settings!$B$4)</f>
        <v/>
      </c>
      <c r="M47" s="14">
        <f>IF(A47="","",IF(E47="Tentative",IF(G47&lt;Settings!$B$4,"Release hold or chase",IF(G47=Settings!$B$4,"Hold expires today","Hold running")),IF(E47="Cancelled","Closed",IF(J47&lt;Settings!$B$6,IF(E47="Completed","Check advance","Advance below minimum"),IF(AND(K47&gt;0,L47&lt;0),"Overdue balance",IF(AND(K47&gt;0,L47&lt;=15),"Balance due within 15 days","OK"))))))</f>
        <v/>
      </c>
      <c r="N47" s="13">
        <f>IF(C47="","",YEAR(C47)*100+MONTH(C47))</f>
        <v/>
      </c>
      <c r="O47" s="13">
        <f>IF(A47="",0,IF(OR(E47="Confirmed",E47="Completed"),IF(D47="Full day",Settings!$B$7,1),0))</f>
        <v/>
      </c>
      <c r="P47" s="12">
        <f>IF(O47&gt;0,H47,0)</f>
        <v/>
      </c>
      <c r="Q47" s="12">
        <f>IF(OR(E47="Confirmed",E47="Completed"),N(K47),0)</f>
        <v/>
      </c>
    </row>
    <row r="48">
      <c r="A48" s="8" t="n"/>
      <c r="B48" s="8" t="n"/>
      <c r="C48" s="4" t="n"/>
      <c r="D48" s="8" t="n"/>
      <c r="E48" s="8" t="n"/>
      <c r="F48" s="4" t="n"/>
      <c r="G48" s="9">
        <f>IF(AND(A48&lt;&gt;"",E48="Tentative"),F48+Settings!$B$5,"")</f>
        <v/>
      </c>
      <c r="H48" s="10" t="n"/>
      <c r="I48" s="10" t="n"/>
      <c r="J48" s="11">
        <f>IF(OR(A48="",H48=""),"",IF(H48=0,"",I48/H48))</f>
        <v/>
      </c>
      <c r="K48" s="12">
        <f>IF(OR(A48="",E48="Cancelled"),"",H48-I48)</f>
        <v/>
      </c>
      <c r="L48" s="13">
        <f>IF(OR(A48="",C48=""),"",C48-Settings!$B$4)</f>
        <v/>
      </c>
      <c r="M48" s="14">
        <f>IF(A48="","",IF(E48="Tentative",IF(G48&lt;Settings!$B$4,"Release hold or chase",IF(G48=Settings!$B$4,"Hold expires today","Hold running")),IF(E48="Cancelled","Closed",IF(J48&lt;Settings!$B$6,IF(E48="Completed","Check advance","Advance below minimum"),IF(AND(K48&gt;0,L48&lt;0),"Overdue balance",IF(AND(K48&gt;0,L48&lt;=15),"Balance due within 15 days","OK"))))))</f>
        <v/>
      </c>
      <c r="N48" s="13">
        <f>IF(C48="","",YEAR(C48)*100+MONTH(C48))</f>
        <v/>
      </c>
      <c r="O48" s="13">
        <f>IF(A48="",0,IF(OR(E48="Confirmed",E48="Completed"),IF(D48="Full day",Settings!$B$7,1),0))</f>
        <v/>
      </c>
      <c r="P48" s="12">
        <f>IF(O48&gt;0,H48,0)</f>
        <v/>
      </c>
      <c r="Q48" s="12">
        <f>IF(OR(E48="Confirmed",E48="Completed"),N(K48),0)</f>
        <v/>
      </c>
    </row>
    <row r="49">
      <c r="A49" s="8" t="n"/>
      <c r="B49" s="8" t="n"/>
      <c r="C49" s="4" t="n"/>
      <c r="D49" s="8" t="n"/>
      <c r="E49" s="8" t="n"/>
      <c r="F49" s="4" t="n"/>
      <c r="G49" s="9">
        <f>IF(AND(A49&lt;&gt;"",E49="Tentative"),F49+Settings!$B$5,"")</f>
        <v/>
      </c>
      <c r="H49" s="10" t="n"/>
      <c r="I49" s="10" t="n"/>
      <c r="J49" s="11">
        <f>IF(OR(A49="",H49=""),"",IF(H49=0,"",I49/H49))</f>
        <v/>
      </c>
      <c r="K49" s="12">
        <f>IF(OR(A49="",E49="Cancelled"),"",H49-I49)</f>
        <v/>
      </c>
      <c r="L49" s="13">
        <f>IF(OR(A49="",C49=""),"",C49-Settings!$B$4)</f>
        <v/>
      </c>
      <c r="M49" s="14">
        <f>IF(A49="","",IF(E49="Tentative",IF(G49&lt;Settings!$B$4,"Release hold or chase",IF(G49=Settings!$B$4,"Hold expires today","Hold running")),IF(E49="Cancelled","Closed",IF(J49&lt;Settings!$B$6,IF(E49="Completed","Check advance","Advance below minimum"),IF(AND(K49&gt;0,L49&lt;0),"Overdue balance",IF(AND(K49&gt;0,L49&lt;=15),"Balance due within 15 days","OK"))))))</f>
        <v/>
      </c>
      <c r="N49" s="13">
        <f>IF(C49="","",YEAR(C49)*100+MONTH(C49))</f>
        <v/>
      </c>
      <c r="O49" s="13">
        <f>IF(A49="",0,IF(OR(E49="Confirmed",E49="Completed"),IF(D49="Full day",Settings!$B$7,1),0))</f>
        <v/>
      </c>
      <c r="P49" s="12">
        <f>IF(O49&gt;0,H49,0)</f>
        <v/>
      </c>
      <c r="Q49" s="12">
        <f>IF(OR(E49="Confirmed",E49="Completed"),N(K49),0)</f>
        <v/>
      </c>
    </row>
    <row r="50">
      <c r="A50" s="8" t="n"/>
      <c r="B50" s="8" t="n"/>
      <c r="C50" s="4" t="n"/>
      <c r="D50" s="8" t="n"/>
      <c r="E50" s="8" t="n"/>
      <c r="F50" s="4" t="n"/>
      <c r="G50" s="9">
        <f>IF(AND(A50&lt;&gt;"",E50="Tentative"),F50+Settings!$B$5,"")</f>
        <v/>
      </c>
      <c r="H50" s="10" t="n"/>
      <c r="I50" s="10" t="n"/>
      <c r="J50" s="11">
        <f>IF(OR(A50="",H50=""),"",IF(H50=0,"",I50/H50))</f>
        <v/>
      </c>
      <c r="K50" s="12">
        <f>IF(OR(A50="",E50="Cancelled"),"",H50-I50)</f>
        <v/>
      </c>
      <c r="L50" s="13">
        <f>IF(OR(A50="",C50=""),"",C50-Settings!$B$4)</f>
        <v/>
      </c>
      <c r="M50" s="14">
        <f>IF(A50="","",IF(E50="Tentative",IF(G50&lt;Settings!$B$4,"Release hold or chase",IF(G50=Settings!$B$4,"Hold expires today","Hold running")),IF(E50="Cancelled","Closed",IF(J50&lt;Settings!$B$6,IF(E50="Completed","Check advance","Advance below minimum"),IF(AND(K50&gt;0,L50&lt;0),"Overdue balance",IF(AND(K50&gt;0,L50&lt;=15),"Balance due within 15 days","OK"))))))</f>
        <v/>
      </c>
      <c r="N50" s="13">
        <f>IF(C50="","",YEAR(C50)*100+MONTH(C50))</f>
        <v/>
      </c>
      <c r="O50" s="13">
        <f>IF(A50="",0,IF(OR(E50="Confirmed",E50="Completed"),IF(D50="Full day",Settings!$B$7,1),0))</f>
        <v/>
      </c>
      <c r="P50" s="12">
        <f>IF(O50&gt;0,H50,0)</f>
        <v/>
      </c>
      <c r="Q50" s="12">
        <f>IF(OR(E50="Confirmed",E50="Completed"),N(K50),0)</f>
        <v/>
      </c>
    </row>
    <row r="51">
      <c r="A51" s="8" t="n"/>
      <c r="B51" s="8" t="n"/>
      <c r="C51" s="4" t="n"/>
      <c r="D51" s="8" t="n"/>
      <c r="E51" s="8" t="n"/>
      <c r="F51" s="4" t="n"/>
      <c r="G51" s="9">
        <f>IF(AND(A51&lt;&gt;"",E51="Tentative"),F51+Settings!$B$5,"")</f>
        <v/>
      </c>
      <c r="H51" s="10" t="n"/>
      <c r="I51" s="10" t="n"/>
      <c r="J51" s="11">
        <f>IF(OR(A51="",H51=""),"",IF(H51=0,"",I51/H51))</f>
        <v/>
      </c>
      <c r="K51" s="12">
        <f>IF(OR(A51="",E51="Cancelled"),"",H51-I51)</f>
        <v/>
      </c>
      <c r="L51" s="13">
        <f>IF(OR(A51="",C51=""),"",C51-Settings!$B$4)</f>
        <v/>
      </c>
      <c r="M51" s="14">
        <f>IF(A51="","",IF(E51="Tentative",IF(G51&lt;Settings!$B$4,"Release hold or chase",IF(G51=Settings!$B$4,"Hold expires today","Hold running")),IF(E51="Cancelled","Closed",IF(J51&lt;Settings!$B$6,IF(E51="Completed","Check advance","Advance below minimum"),IF(AND(K51&gt;0,L51&lt;0),"Overdue balance",IF(AND(K51&gt;0,L51&lt;=15),"Balance due within 15 days","OK"))))))</f>
        <v/>
      </c>
      <c r="N51" s="13">
        <f>IF(C51="","",YEAR(C51)*100+MONTH(C51))</f>
        <v/>
      </c>
      <c r="O51" s="13">
        <f>IF(A51="",0,IF(OR(E51="Confirmed",E51="Completed"),IF(D51="Full day",Settings!$B$7,1),0))</f>
        <v/>
      </c>
      <c r="P51" s="12">
        <f>IF(O51&gt;0,H51,0)</f>
        <v/>
      </c>
      <c r="Q51" s="12">
        <f>IF(OR(E51="Confirmed",E51="Completed"),N(K51),0)</f>
        <v/>
      </c>
    </row>
    <row r="52">
      <c r="A52" s="8" t="n"/>
      <c r="B52" s="8" t="n"/>
      <c r="C52" s="4" t="n"/>
      <c r="D52" s="8" t="n"/>
      <c r="E52" s="8" t="n"/>
      <c r="F52" s="4" t="n"/>
      <c r="G52" s="9">
        <f>IF(AND(A52&lt;&gt;"",E52="Tentative"),F52+Settings!$B$5,"")</f>
        <v/>
      </c>
      <c r="H52" s="10" t="n"/>
      <c r="I52" s="10" t="n"/>
      <c r="J52" s="11">
        <f>IF(OR(A52="",H52=""),"",IF(H52=0,"",I52/H52))</f>
        <v/>
      </c>
      <c r="K52" s="12">
        <f>IF(OR(A52="",E52="Cancelled"),"",H52-I52)</f>
        <v/>
      </c>
      <c r="L52" s="13">
        <f>IF(OR(A52="",C52=""),"",C52-Settings!$B$4)</f>
        <v/>
      </c>
      <c r="M52" s="14">
        <f>IF(A52="","",IF(E52="Tentative",IF(G52&lt;Settings!$B$4,"Release hold or chase",IF(G52=Settings!$B$4,"Hold expires today","Hold running")),IF(E52="Cancelled","Closed",IF(J52&lt;Settings!$B$6,IF(E52="Completed","Check advance","Advance below minimum"),IF(AND(K52&gt;0,L52&lt;0),"Overdue balance",IF(AND(K52&gt;0,L52&lt;=15),"Balance due within 15 days","OK"))))))</f>
        <v/>
      </c>
      <c r="N52" s="13">
        <f>IF(C52="","",YEAR(C52)*100+MONTH(C52))</f>
        <v/>
      </c>
      <c r="O52" s="13">
        <f>IF(A52="",0,IF(OR(E52="Confirmed",E52="Completed"),IF(D52="Full day",Settings!$B$7,1),0))</f>
        <v/>
      </c>
      <c r="P52" s="12">
        <f>IF(O52&gt;0,H52,0)</f>
        <v/>
      </c>
      <c r="Q52" s="12">
        <f>IF(OR(E52="Confirmed",E52="Completed"),N(K52),0)</f>
        <v/>
      </c>
    </row>
    <row r="53">
      <c r="A53" s="8" t="n"/>
      <c r="B53" s="8" t="n"/>
      <c r="C53" s="4" t="n"/>
      <c r="D53" s="8" t="n"/>
      <c r="E53" s="8" t="n"/>
      <c r="F53" s="4" t="n"/>
      <c r="G53" s="9">
        <f>IF(AND(A53&lt;&gt;"",E53="Tentative"),F53+Settings!$B$5,"")</f>
        <v/>
      </c>
      <c r="H53" s="10" t="n"/>
      <c r="I53" s="10" t="n"/>
      <c r="J53" s="11">
        <f>IF(OR(A53="",H53=""),"",IF(H53=0,"",I53/H53))</f>
        <v/>
      </c>
      <c r="K53" s="12">
        <f>IF(OR(A53="",E53="Cancelled"),"",H53-I53)</f>
        <v/>
      </c>
      <c r="L53" s="13">
        <f>IF(OR(A53="",C53=""),"",C53-Settings!$B$4)</f>
        <v/>
      </c>
      <c r="M53" s="14">
        <f>IF(A53="","",IF(E53="Tentative",IF(G53&lt;Settings!$B$4,"Release hold or chase",IF(G53=Settings!$B$4,"Hold expires today","Hold running")),IF(E53="Cancelled","Closed",IF(J53&lt;Settings!$B$6,IF(E53="Completed","Check advance","Advance below minimum"),IF(AND(K53&gt;0,L53&lt;0),"Overdue balance",IF(AND(K53&gt;0,L53&lt;=15),"Balance due within 15 days","OK"))))))</f>
        <v/>
      </c>
      <c r="N53" s="13">
        <f>IF(C53="","",YEAR(C53)*100+MONTH(C53))</f>
        <v/>
      </c>
      <c r="O53" s="13">
        <f>IF(A53="",0,IF(OR(E53="Confirmed",E53="Completed"),IF(D53="Full day",Settings!$B$7,1),0))</f>
        <v/>
      </c>
      <c r="P53" s="12">
        <f>IF(O53&gt;0,H53,0)</f>
        <v/>
      </c>
      <c r="Q53" s="12">
        <f>IF(OR(E53="Confirmed",E53="Completed"),N(K53),0)</f>
        <v/>
      </c>
    </row>
    <row r="54">
      <c r="A54" s="8" t="n"/>
      <c r="B54" s="8" t="n"/>
      <c r="C54" s="4" t="n"/>
      <c r="D54" s="8" t="n"/>
      <c r="E54" s="8" t="n"/>
      <c r="F54" s="4" t="n"/>
      <c r="G54" s="9">
        <f>IF(AND(A54&lt;&gt;"",E54="Tentative"),F54+Settings!$B$5,"")</f>
        <v/>
      </c>
      <c r="H54" s="10" t="n"/>
      <c r="I54" s="10" t="n"/>
      <c r="J54" s="11">
        <f>IF(OR(A54="",H54=""),"",IF(H54=0,"",I54/H54))</f>
        <v/>
      </c>
      <c r="K54" s="12">
        <f>IF(OR(A54="",E54="Cancelled"),"",H54-I54)</f>
        <v/>
      </c>
      <c r="L54" s="13">
        <f>IF(OR(A54="",C54=""),"",C54-Settings!$B$4)</f>
        <v/>
      </c>
      <c r="M54" s="14">
        <f>IF(A54="","",IF(E54="Tentative",IF(G54&lt;Settings!$B$4,"Release hold or chase",IF(G54=Settings!$B$4,"Hold expires today","Hold running")),IF(E54="Cancelled","Closed",IF(J54&lt;Settings!$B$6,IF(E54="Completed","Check advance","Advance below minimum"),IF(AND(K54&gt;0,L54&lt;0),"Overdue balance",IF(AND(K54&gt;0,L54&lt;=15),"Balance due within 15 days","OK"))))))</f>
        <v/>
      </c>
      <c r="N54" s="13">
        <f>IF(C54="","",YEAR(C54)*100+MONTH(C54))</f>
        <v/>
      </c>
      <c r="O54" s="13">
        <f>IF(A54="",0,IF(OR(E54="Confirmed",E54="Completed"),IF(D54="Full day",Settings!$B$7,1),0))</f>
        <v/>
      </c>
      <c r="P54" s="12">
        <f>IF(O54&gt;0,H54,0)</f>
        <v/>
      </c>
      <c r="Q54" s="12">
        <f>IF(OR(E54="Confirmed",E54="Completed"),N(K54),0)</f>
        <v/>
      </c>
    </row>
    <row r="55">
      <c r="A55" s="8" t="n"/>
      <c r="B55" s="8" t="n"/>
      <c r="C55" s="4" t="n"/>
      <c r="D55" s="8" t="n"/>
      <c r="E55" s="8" t="n"/>
      <c r="F55" s="4" t="n"/>
      <c r="G55" s="9">
        <f>IF(AND(A55&lt;&gt;"",E55="Tentative"),F55+Settings!$B$5,"")</f>
        <v/>
      </c>
      <c r="H55" s="10" t="n"/>
      <c r="I55" s="10" t="n"/>
      <c r="J55" s="11">
        <f>IF(OR(A55="",H55=""),"",IF(H55=0,"",I55/H55))</f>
        <v/>
      </c>
      <c r="K55" s="12">
        <f>IF(OR(A55="",E55="Cancelled"),"",H55-I55)</f>
        <v/>
      </c>
      <c r="L55" s="13">
        <f>IF(OR(A55="",C55=""),"",C55-Settings!$B$4)</f>
        <v/>
      </c>
      <c r="M55" s="14">
        <f>IF(A55="","",IF(E55="Tentative",IF(G55&lt;Settings!$B$4,"Release hold or chase",IF(G55=Settings!$B$4,"Hold expires today","Hold running")),IF(E55="Cancelled","Closed",IF(J55&lt;Settings!$B$6,IF(E55="Completed","Check advance","Advance below minimum"),IF(AND(K55&gt;0,L55&lt;0),"Overdue balance",IF(AND(K55&gt;0,L55&lt;=15),"Balance due within 15 days","OK"))))))</f>
        <v/>
      </c>
      <c r="N55" s="13">
        <f>IF(C55="","",YEAR(C55)*100+MONTH(C55))</f>
        <v/>
      </c>
      <c r="O55" s="13">
        <f>IF(A55="",0,IF(OR(E55="Confirmed",E55="Completed"),IF(D55="Full day",Settings!$B$7,1),0))</f>
        <v/>
      </c>
      <c r="P55" s="12">
        <f>IF(O55&gt;0,H55,0)</f>
        <v/>
      </c>
      <c r="Q55" s="12">
        <f>IF(OR(E55="Confirmed",E55="Completed"),N(K55),0)</f>
        <v/>
      </c>
    </row>
    <row r="56">
      <c r="A56" s="8" t="n"/>
      <c r="B56" s="8" t="n"/>
      <c r="C56" s="4" t="n"/>
      <c r="D56" s="8" t="n"/>
      <c r="E56" s="8" t="n"/>
      <c r="F56" s="4" t="n"/>
      <c r="G56" s="9">
        <f>IF(AND(A56&lt;&gt;"",E56="Tentative"),F56+Settings!$B$5,"")</f>
        <v/>
      </c>
      <c r="H56" s="10" t="n"/>
      <c r="I56" s="10" t="n"/>
      <c r="J56" s="11">
        <f>IF(OR(A56="",H56=""),"",IF(H56=0,"",I56/H56))</f>
        <v/>
      </c>
      <c r="K56" s="12">
        <f>IF(OR(A56="",E56="Cancelled"),"",H56-I56)</f>
        <v/>
      </c>
      <c r="L56" s="13">
        <f>IF(OR(A56="",C56=""),"",C56-Settings!$B$4)</f>
        <v/>
      </c>
      <c r="M56" s="14">
        <f>IF(A56="","",IF(E56="Tentative",IF(G56&lt;Settings!$B$4,"Release hold or chase",IF(G56=Settings!$B$4,"Hold expires today","Hold running")),IF(E56="Cancelled","Closed",IF(J56&lt;Settings!$B$6,IF(E56="Completed","Check advance","Advance below minimum"),IF(AND(K56&gt;0,L56&lt;0),"Overdue balance",IF(AND(K56&gt;0,L56&lt;=15),"Balance due within 15 days","OK"))))))</f>
        <v/>
      </c>
      <c r="N56" s="13">
        <f>IF(C56="","",YEAR(C56)*100+MONTH(C56))</f>
        <v/>
      </c>
      <c r="O56" s="13">
        <f>IF(A56="",0,IF(OR(E56="Confirmed",E56="Completed"),IF(D56="Full day",Settings!$B$7,1),0))</f>
        <v/>
      </c>
      <c r="P56" s="12">
        <f>IF(O56&gt;0,H56,0)</f>
        <v/>
      </c>
      <c r="Q56" s="12">
        <f>IF(OR(E56="Confirmed",E56="Completed"),N(K56),0)</f>
        <v/>
      </c>
    </row>
    <row r="57">
      <c r="A57" s="8" t="n"/>
      <c r="B57" s="8" t="n"/>
      <c r="C57" s="4" t="n"/>
      <c r="D57" s="8" t="n"/>
      <c r="E57" s="8" t="n"/>
      <c r="F57" s="4" t="n"/>
      <c r="G57" s="9">
        <f>IF(AND(A57&lt;&gt;"",E57="Tentative"),F57+Settings!$B$5,"")</f>
        <v/>
      </c>
      <c r="H57" s="10" t="n"/>
      <c r="I57" s="10" t="n"/>
      <c r="J57" s="11">
        <f>IF(OR(A57="",H57=""),"",IF(H57=0,"",I57/H57))</f>
        <v/>
      </c>
      <c r="K57" s="12">
        <f>IF(OR(A57="",E57="Cancelled"),"",H57-I57)</f>
        <v/>
      </c>
      <c r="L57" s="13">
        <f>IF(OR(A57="",C57=""),"",C57-Settings!$B$4)</f>
        <v/>
      </c>
      <c r="M57" s="14">
        <f>IF(A57="","",IF(E57="Tentative",IF(G57&lt;Settings!$B$4,"Release hold or chase",IF(G57=Settings!$B$4,"Hold expires today","Hold running")),IF(E57="Cancelled","Closed",IF(J57&lt;Settings!$B$6,IF(E57="Completed","Check advance","Advance below minimum"),IF(AND(K57&gt;0,L57&lt;0),"Overdue balance",IF(AND(K57&gt;0,L57&lt;=15),"Balance due within 15 days","OK"))))))</f>
        <v/>
      </c>
      <c r="N57" s="13">
        <f>IF(C57="","",YEAR(C57)*100+MONTH(C57))</f>
        <v/>
      </c>
      <c r="O57" s="13">
        <f>IF(A57="",0,IF(OR(E57="Confirmed",E57="Completed"),IF(D57="Full day",Settings!$B$7,1),0))</f>
        <v/>
      </c>
      <c r="P57" s="12">
        <f>IF(O57&gt;0,H57,0)</f>
        <v/>
      </c>
      <c r="Q57" s="12">
        <f>IF(OR(E57="Confirmed",E57="Completed"),N(K57),0)</f>
        <v/>
      </c>
    </row>
    <row r="58">
      <c r="A58" s="8" t="n"/>
      <c r="B58" s="8" t="n"/>
      <c r="C58" s="4" t="n"/>
      <c r="D58" s="8" t="n"/>
      <c r="E58" s="8" t="n"/>
      <c r="F58" s="4" t="n"/>
      <c r="G58" s="9">
        <f>IF(AND(A58&lt;&gt;"",E58="Tentative"),F58+Settings!$B$5,"")</f>
        <v/>
      </c>
      <c r="H58" s="10" t="n"/>
      <c r="I58" s="10" t="n"/>
      <c r="J58" s="11">
        <f>IF(OR(A58="",H58=""),"",IF(H58=0,"",I58/H58))</f>
        <v/>
      </c>
      <c r="K58" s="12">
        <f>IF(OR(A58="",E58="Cancelled"),"",H58-I58)</f>
        <v/>
      </c>
      <c r="L58" s="13">
        <f>IF(OR(A58="",C58=""),"",C58-Settings!$B$4)</f>
        <v/>
      </c>
      <c r="M58" s="14">
        <f>IF(A58="","",IF(E58="Tentative",IF(G58&lt;Settings!$B$4,"Release hold or chase",IF(G58=Settings!$B$4,"Hold expires today","Hold running")),IF(E58="Cancelled","Closed",IF(J58&lt;Settings!$B$6,IF(E58="Completed","Check advance","Advance below minimum"),IF(AND(K58&gt;0,L58&lt;0),"Overdue balance",IF(AND(K58&gt;0,L58&lt;=15),"Balance due within 15 days","OK"))))))</f>
        <v/>
      </c>
      <c r="N58" s="13">
        <f>IF(C58="","",YEAR(C58)*100+MONTH(C58))</f>
        <v/>
      </c>
      <c r="O58" s="13">
        <f>IF(A58="",0,IF(OR(E58="Confirmed",E58="Completed"),IF(D58="Full day",Settings!$B$7,1),0))</f>
        <v/>
      </c>
      <c r="P58" s="12">
        <f>IF(O58&gt;0,H58,0)</f>
        <v/>
      </c>
      <c r="Q58" s="12">
        <f>IF(OR(E58="Confirmed",E58="Completed"),N(K58),0)</f>
        <v/>
      </c>
    </row>
    <row r="59">
      <c r="A59" s="8" t="n"/>
      <c r="B59" s="8" t="n"/>
      <c r="C59" s="4" t="n"/>
      <c r="D59" s="8" t="n"/>
      <c r="E59" s="8" t="n"/>
      <c r="F59" s="4" t="n"/>
      <c r="G59" s="9">
        <f>IF(AND(A59&lt;&gt;"",E59="Tentative"),F59+Settings!$B$5,"")</f>
        <v/>
      </c>
      <c r="H59" s="10" t="n"/>
      <c r="I59" s="10" t="n"/>
      <c r="J59" s="11">
        <f>IF(OR(A59="",H59=""),"",IF(H59=0,"",I59/H59))</f>
        <v/>
      </c>
      <c r="K59" s="12">
        <f>IF(OR(A59="",E59="Cancelled"),"",H59-I59)</f>
        <v/>
      </c>
      <c r="L59" s="13">
        <f>IF(OR(A59="",C59=""),"",C59-Settings!$B$4)</f>
        <v/>
      </c>
      <c r="M59" s="14">
        <f>IF(A59="","",IF(E59="Tentative",IF(G59&lt;Settings!$B$4,"Release hold or chase",IF(G59=Settings!$B$4,"Hold expires today","Hold running")),IF(E59="Cancelled","Closed",IF(J59&lt;Settings!$B$6,IF(E59="Completed","Check advance","Advance below minimum"),IF(AND(K59&gt;0,L59&lt;0),"Overdue balance",IF(AND(K59&gt;0,L59&lt;=15),"Balance due within 15 days","OK"))))))</f>
        <v/>
      </c>
      <c r="N59" s="13">
        <f>IF(C59="","",YEAR(C59)*100+MONTH(C59))</f>
        <v/>
      </c>
      <c r="O59" s="13">
        <f>IF(A59="",0,IF(OR(E59="Confirmed",E59="Completed"),IF(D59="Full day",Settings!$B$7,1),0))</f>
        <v/>
      </c>
      <c r="P59" s="12">
        <f>IF(O59&gt;0,H59,0)</f>
        <v/>
      </c>
      <c r="Q59" s="12">
        <f>IF(OR(E59="Confirmed",E59="Completed"),N(K59),0)</f>
        <v/>
      </c>
    </row>
    <row r="60">
      <c r="A60" s="8" t="n"/>
      <c r="B60" s="8" t="n"/>
      <c r="C60" s="4" t="n"/>
      <c r="D60" s="8" t="n"/>
      <c r="E60" s="8" t="n"/>
      <c r="F60" s="4" t="n"/>
      <c r="G60" s="9">
        <f>IF(AND(A60&lt;&gt;"",E60="Tentative"),F60+Settings!$B$5,"")</f>
        <v/>
      </c>
      <c r="H60" s="10" t="n"/>
      <c r="I60" s="10" t="n"/>
      <c r="J60" s="11">
        <f>IF(OR(A60="",H60=""),"",IF(H60=0,"",I60/H60))</f>
        <v/>
      </c>
      <c r="K60" s="12">
        <f>IF(OR(A60="",E60="Cancelled"),"",H60-I60)</f>
        <v/>
      </c>
      <c r="L60" s="13">
        <f>IF(OR(A60="",C60=""),"",C60-Settings!$B$4)</f>
        <v/>
      </c>
      <c r="M60" s="14">
        <f>IF(A60="","",IF(E60="Tentative",IF(G60&lt;Settings!$B$4,"Release hold or chase",IF(G60=Settings!$B$4,"Hold expires today","Hold running")),IF(E60="Cancelled","Closed",IF(J60&lt;Settings!$B$6,IF(E60="Completed","Check advance","Advance below minimum"),IF(AND(K60&gt;0,L60&lt;0),"Overdue balance",IF(AND(K60&gt;0,L60&lt;=15),"Balance due within 15 days","OK"))))))</f>
        <v/>
      </c>
      <c r="N60" s="13">
        <f>IF(C60="","",YEAR(C60)*100+MONTH(C60))</f>
        <v/>
      </c>
      <c r="O60" s="13">
        <f>IF(A60="",0,IF(OR(E60="Confirmed",E60="Completed"),IF(D60="Full day",Settings!$B$7,1),0))</f>
        <v/>
      </c>
      <c r="P60" s="12">
        <f>IF(O60&gt;0,H60,0)</f>
        <v/>
      </c>
      <c r="Q60" s="12">
        <f>IF(OR(E60="Confirmed",E60="Completed"),N(K60),0)</f>
        <v/>
      </c>
    </row>
    <row r="61">
      <c r="A61" s="8" t="n"/>
      <c r="B61" s="8" t="n"/>
      <c r="C61" s="4" t="n"/>
      <c r="D61" s="8" t="n"/>
      <c r="E61" s="8" t="n"/>
      <c r="F61" s="4" t="n"/>
      <c r="G61" s="9">
        <f>IF(AND(A61&lt;&gt;"",E61="Tentative"),F61+Settings!$B$5,"")</f>
        <v/>
      </c>
      <c r="H61" s="10" t="n"/>
      <c r="I61" s="10" t="n"/>
      <c r="J61" s="11">
        <f>IF(OR(A61="",H61=""),"",IF(H61=0,"",I61/H61))</f>
        <v/>
      </c>
      <c r="K61" s="12">
        <f>IF(OR(A61="",E61="Cancelled"),"",H61-I61)</f>
        <v/>
      </c>
      <c r="L61" s="13">
        <f>IF(OR(A61="",C61=""),"",C61-Settings!$B$4)</f>
        <v/>
      </c>
      <c r="M61" s="14">
        <f>IF(A61="","",IF(E61="Tentative",IF(G61&lt;Settings!$B$4,"Release hold or chase",IF(G61=Settings!$B$4,"Hold expires today","Hold running")),IF(E61="Cancelled","Closed",IF(J61&lt;Settings!$B$6,IF(E61="Completed","Check advance","Advance below minimum"),IF(AND(K61&gt;0,L61&lt;0),"Overdue balance",IF(AND(K61&gt;0,L61&lt;=15),"Balance due within 15 days","OK"))))))</f>
        <v/>
      </c>
      <c r="N61" s="13">
        <f>IF(C61="","",YEAR(C61)*100+MONTH(C61))</f>
        <v/>
      </c>
      <c r="O61" s="13">
        <f>IF(A61="",0,IF(OR(E61="Confirmed",E61="Completed"),IF(D61="Full day",Settings!$B$7,1),0))</f>
        <v/>
      </c>
      <c r="P61" s="12">
        <f>IF(O61&gt;0,H61,0)</f>
        <v/>
      </c>
      <c r="Q61" s="12">
        <f>IF(OR(E61="Confirmed",E61="Completed"),N(K61),0)</f>
        <v/>
      </c>
    </row>
    <row r="62">
      <c r="A62" s="8" t="n"/>
      <c r="B62" s="8" t="n"/>
      <c r="C62" s="4" t="n"/>
      <c r="D62" s="8" t="n"/>
      <c r="E62" s="8" t="n"/>
      <c r="F62" s="4" t="n"/>
      <c r="G62" s="9">
        <f>IF(AND(A62&lt;&gt;"",E62="Tentative"),F62+Settings!$B$5,"")</f>
        <v/>
      </c>
      <c r="H62" s="10" t="n"/>
      <c r="I62" s="10" t="n"/>
      <c r="J62" s="11">
        <f>IF(OR(A62="",H62=""),"",IF(H62=0,"",I62/H62))</f>
        <v/>
      </c>
      <c r="K62" s="12">
        <f>IF(OR(A62="",E62="Cancelled"),"",H62-I62)</f>
        <v/>
      </c>
      <c r="L62" s="13">
        <f>IF(OR(A62="",C62=""),"",C62-Settings!$B$4)</f>
        <v/>
      </c>
      <c r="M62" s="14">
        <f>IF(A62="","",IF(E62="Tentative",IF(G62&lt;Settings!$B$4,"Release hold or chase",IF(G62=Settings!$B$4,"Hold expires today","Hold running")),IF(E62="Cancelled","Closed",IF(J62&lt;Settings!$B$6,IF(E62="Completed","Check advance","Advance below minimum"),IF(AND(K62&gt;0,L62&lt;0),"Overdue balance",IF(AND(K62&gt;0,L62&lt;=15),"Balance due within 15 days","OK"))))))</f>
        <v/>
      </c>
      <c r="N62" s="13">
        <f>IF(C62="","",YEAR(C62)*100+MONTH(C62))</f>
        <v/>
      </c>
      <c r="O62" s="13">
        <f>IF(A62="",0,IF(OR(E62="Confirmed",E62="Completed"),IF(D62="Full day",Settings!$B$7,1),0))</f>
        <v/>
      </c>
      <c r="P62" s="12">
        <f>IF(O62&gt;0,H62,0)</f>
        <v/>
      </c>
      <c r="Q62" s="12">
        <f>IF(OR(E62="Confirmed",E62="Completed"),N(K62),0)</f>
        <v/>
      </c>
    </row>
    <row r="63">
      <c r="A63" s="8" t="n"/>
      <c r="B63" s="8" t="n"/>
      <c r="C63" s="4" t="n"/>
      <c r="D63" s="8" t="n"/>
      <c r="E63" s="8" t="n"/>
      <c r="F63" s="4" t="n"/>
      <c r="G63" s="9">
        <f>IF(AND(A63&lt;&gt;"",E63="Tentative"),F63+Settings!$B$5,"")</f>
        <v/>
      </c>
      <c r="H63" s="10" t="n"/>
      <c r="I63" s="10" t="n"/>
      <c r="J63" s="11">
        <f>IF(OR(A63="",H63=""),"",IF(H63=0,"",I63/H63))</f>
        <v/>
      </c>
      <c r="K63" s="12">
        <f>IF(OR(A63="",E63="Cancelled"),"",H63-I63)</f>
        <v/>
      </c>
      <c r="L63" s="13">
        <f>IF(OR(A63="",C63=""),"",C63-Settings!$B$4)</f>
        <v/>
      </c>
      <c r="M63" s="14">
        <f>IF(A63="","",IF(E63="Tentative",IF(G63&lt;Settings!$B$4,"Release hold or chase",IF(G63=Settings!$B$4,"Hold expires today","Hold running")),IF(E63="Cancelled","Closed",IF(J63&lt;Settings!$B$6,IF(E63="Completed","Check advance","Advance below minimum"),IF(AND(K63&gt;0,L63&lt;0),"Overdue balance",IF(AND(K63&gt;0,L63&lt;=15),"Balance due within 15 days","OK"))))))</f>
        <v/>
      </c>
      <c r="N63" s="13">
        <f>IF(C63="","",YEAR(C63)*100+MONTH(C63))</f>
        <v/>
      </c>
      <c r="O63" s="13">
        <f>IF(A63="",0,IF(OR(E63="Confirmed",E63="Completed"),IF(D63="Full day",Settings!$B$7,1),0))</f>
        <v/>
      </c>
      <c r="P63" s="12">
        <f>IF(O63&gt;0,H63,0)</f>
        <v/>
      </c>
      <c r="Q63" s="12">
        <f>IF(OR(E63="Confirmed",E63="Completed"),N(K63),0)</f>
        <v/>
      </c>
    </row>
    <row r="64">
      <c r="A64" s="8" t="n"/>
      <c r="B64" s="8" t="n"/>
      <c r="C64" s="4" t="n"/>
      <c r="D64" s="8" t="n"/>
      <c r="E64" s="8" t="n"/>
      <c r="F64" s="4" t="n"/>
      <c r="G64" s="9">
        <f>IF(AND(A64&lt;&gt;"",E64="Tentative"),F64+Settings!$B$5,"")</f>
        <v/>
      </c>
      <c r="H64" s="10" t="n"/>
      <c r="I64" s="10" t="n"/>
      <c r="J64" s="11">
        <f>IF(OR(A64="",H64=""),"",IF(H64=0,"",I64/H64))</f>
        <v/>
      </c>
      <c r="K64" s="12">
        <f>IF(OR(A64="",E64="Cancelled"),"",H64-I64)</f>
        <v/>
      </c>
      <c r="L64" s="13">
        <f>IF(OR(A64="",C64=""),"",C64-Settings!$B$4)</f>
        <v/>
      </c>
      <c r="M64" s="14">
        <f>IF(A64="","",IF(E64="Tentative",IF(G64&lt;Settings!$B$4,"Release hold or chase",IF(G64=Settings!$B$4,"Hold expires today","Hold running")),IF(E64="Cancelled","Closed",IF(J64&lt;Settings!$B$6,IF(E64="Completed","Check advance","Advance below minimum"),IF(AND(K64&gt;0,L64&lt;0),"Overdue balance",IF(AND(K64&gt;0,L64&lt;=15),"Balance due within 15 days","OK"))))))</f>
        <v/>
      </c>
      <c r="N64" s="13">
        <f>IF(C64="","",YEAR(C64)*100+MONTH(C64))</f>
        <v/>
      </c>
      <c r="O64" s="13">
        <f>IF(A64="",0,IF(OR(E64="Confirmed",E64="Completed"),IF(D64="Full day",Settings!$B$7,1),0))</f>
        <v/>
      </c>
      <c r="P64" s="12">
        <f>IF(O64&gt;0,H64,0)</f>
        <v/>
      </c>
      <c r="Q64" s="12">
        <f>IF(OR(E64="Confirmed",E64="Completed"),N(K64),0)</f>
        <v/>
      </c>
    </row>
    <row r="65">
      <c r="A65" s="8" t="n"/>
      <c r="B65" s="8" t="n"/>
      <c r="C65" s="4" t="n"/>
      <c r="D65" s="8" t="n"/>
      <c r="E65" s="8" t="n"/>
      <c r="F65" s="4" t="n"/>
      <c r="G65" s="9">
        <f>IF(AND(A65&lt;&gt;"",E65="Tentative"),F65+Settings!$B$5,"")</f>
        <v/>
      </c>
      <c r="H65" s="10" t="n"/>
      <c r="I65" s="10" t="n"/>
      <c r="J65" s="11">
        <f>IF(OR(A65="",H65=""),"",IF(H65=0,"",I65/H65))</f>
        <v/>
      </c>
      <c r="K65" s="12">
        <f>IF(OR(A65="",E65="Cancelled"),"",H65-I65)</f>
        <v/>
      </c>
      <c r="L65" s="13">
        <f>IF(OR(A65="",C65=""),"",C65-Settings!$B$4)</f>
        <v/>
      </c>
      <c r="M65" s="14">
        <f>IF(A65="","",IF(E65="Tentative",IF(G65&lt;Settings!$B$4,"Release hold or chase",IF(G65=Settings!$B$4,"Hold expires today","Hold running")),IF(E65="Cancelled","Closed",IF(J65&lt;Settings!$B$6,IF(E65="Completed","Check advance","Advance below minimum"),IF(AND(K65&gt;0,L65&lt;0),"Overdue balance",IF(AND(K65&gt;0,L65&lt;=15),"Balance due within 15 days","OK"))))))</f>
        <v/>
      </c>
      <c r="N65" s="13">
        <f>IF(C65="","",YEAR(C65)*100+MONTH(C65))</f>
        <v/>
      </c>
      <c r="O65" s="13">
        <f>IF(A65="",0,IF(OR(E65="Confirmed",E65="Completed"),IF(D65="Full day",Settings!$B$7,1),0))</f>
        <v/>
      </c>
      <c r="P65" s="12">
        <f>IF(O65&gt;0,H65,0)</f>
        <v/>
      </c>
      <c r="Q65" s="12">
        <f>IF(OR(E65="Confirmed",E65="Completed"),N(K65),0)</f>
        <v/>
      </c>
    </row>
    <row r="66">
      <c r="A66" s="8" t="n"/>
      <c r="B66" s="8" t="n"/>
      <c r="C66" s="4" t="n"/>
      <c r="D66" s="8" t="n"/>
      <c r="E66" s="8" t="n"/>
      <c r="F66" s="4" t="n"/>
      <c r="G66" s="9">
        <f>IF(AND(A66&lt;&gt;"",E66="Tentative"),F66+Settings!$B$5,"")</f>
        <v/>
      </c>
      <c r="H66" s="10" t="n"/>
      <c r="I66" s="10" t="n"/>
      <c r="J66" s="11">
        <f>IF(OR(A66="",H66=""),"",IF(H66=0,"",I66/H66))</f>
        <v/>
      </c>
      <c r="K66" s="12">
        <f>IF(OR(A66="",E66="Cancelled"),"",H66-I66)</f>
        <v/>
      </c>
      <c r="L66" s="13">
        <f>IF(OR(A66="",C66=""),"",C66-Settings!$B$4)</f>
        <v/>
      </c>
      <c r="M66" s="14">
        <f>IF(A66="","",IF(E66="Tentative",IF(G66&lt;Settings!$B$4,"Release hold or chase",IF(G66=Settings!$B$4,"Hold expires today","Hold running")),IF(E66="Cancelled","Closed",IF(J66&lt;Settings!$B$6,IF(E66="Completed","Check advance","Advance below minimum"),IF(AND(K66&gt;0,L66&lt;0),"Overdue balance",IF(AND(K66&gt;0,L66&lt;=15),"Balance due within 15 days","OK"))))))</f>
        <v/>
      </c>
      <c r="N66" s="13">
        <f>IF(C66="","",YEAR(C66)*100+MONTH(C66))</f>
        <v/>
      </c>
      <c r="O66" s="13">
        <f>IF(A66="",0,IF(OR(E66="Confirmed",E66="Completed"),IF(D66="Full day",Settings!$B$7,1),0))</f>
        <v/>
      </c>
      <c r="P66" s="12">
        <f>IF(O66&gt;0,H66,0)</f>
        <v/>
      </c>
      <c r="Q66" s="12">
        <f>IF(OR(E66="Confirmed",E66="Completed"),N(K66),0)</f>
        <v/>
      </c>
    </row>
    <row r="67">
      <c r="A67" s="8" t="n"/>
      <c r="B67" s="8" t="n"/>
      <c r="C67" s="4" t="n"/>
      <c r="D67" s="8" t="n"/>
      <c r="E67" s="8" t="n"/>
      <c r="F67" s="4" t="n"/>
      <c r="G67" s="9">
        <f>IF(AND(A67&lt;&gt;"",E67="Tentative"),F67+Settings!$B$5,"")</f>
        <v/>
      </c>
      <c r="H67" s="10" t="n"/>
      <c r="I67" s="10" t="n"/>
      <c r="J67" s="11">
        <f>IF(OR(A67="",H67=""),"",IF(H67=0,"",I67/H67))</f>
        <v/>
      </c>
      <c r="K67" s="12">
        <f>IF(OR(A67="",E67="Cancelled"),"",H67-I67)</f>
        <v/>
      </c>
      <c r="L67" s="13">
        <f>IF(OR(A67="",C67=""),"",C67-Settings!$B$4)</f>
        <v/>
      </c>
      <c r="M67" s="14">
        <f>IF(A67="","",IF(E67="Tentative",IF(G67&lt;Settings!$B$4,"Release hold or chase",IF(G67=Settings!$B$4,"Hold expires today","Hold running")),IF(E67="Cancelled","Closed",IF(J67&lt;Settings!$B$6,IF(E67="Completed","Check advance","Advance below minimum"),IF(AND(K67&gt;0,L67&lt;0),"Overdue balance",IF(AND(K67&gt;0,L67&lt;=15),"Balance due within 15 days","OK"))))))</f>
        <v/>
      </c>
      <c r="N67" s="13">
        <f>IF(C67="","",YEAR(C67)*100+MONTH(C67))</f>
        <v/>
      </c>
      <c r="O67" s="13">
        <f>IF(A67="",0,IF(OR(E67="Confirmed",E67="Completed"),IF(D67="Full day",Settings!$B$7,1),0))</f>
        <v/>
      </c>
      <c r="P67" s="12">
        <f>IF(O67&gt;0,H67,0)</f>
        <v/>
      </c>
      <c r="Q67" s="12">
        <f>IF(OR(E67="Confirmed",E67="Completed"),N(K67),0)</f>
        <v/>
      </c>
    </row>
    <row r="68">
      <c r="A68" s="8" t="n"/>
      <c r="B68" s="8" t="n"/>
      <c r="C68" s="4" t="n"/>
      <c r="D68" s="8" t="n"/>
      <c r="E68" s="8" t="n"/>
      <c r="F68" s="4" t="n"/>
      <c r="G68" s="9">
        <f>IF(AND(A68&lt;&gt;"",E68="Tentative"),F68+Settings!$B$5,"")</f>
        <v/>
      </c>
      <c r="H68" s="10" t="n"/>
      <c r="I68" s="10" t="n"/>
      <c r="J68" s="11">
        <f>IF(OR(A68="",H68=""),"",IF(H68=0,"",I68/H68))</f>
        <v/>
      </c>
      <c r="K68" s="12">
        <f>IF(OR(A68="",E68="Cancelled"),"",H68-I68)</f>
        <v/>
      </c>
      <c r="L68" s="13">
        <f>IF(OR(A68="",C68=""),"",C68-Settings!$B$4)</f>
        <v/>
      </c>
      <c r="M68" s="14">
        <f>IF(A68="","",IF(E68="Tentative",IF(G68&lt;Settings!$B$4,"Release hold or chase",IF(G68=Settings!$B$4,"Hold expires today","Hold running")),IF(E68="Cancelled","Closed",IF(J68&lt;Settings!$B$6,IF(E68="Completed","Check advance","Advance below minimum"),IF(AND(K68&gt;0,L68&lt;0),"Overdue balance",IF(AND(K68&gt;0,L68&lt;=15),"Balance due within 15 days","OK"))))))</f>
        <v/>
      </c>
      <c r="N68" s="13">
        <f>IF(C68="","",YEAR(C68)*100+MONTH(C68))</f>
        <v/>
      </c>
      <c r="O68" s="13">
        <f>IF(A68="",0,IF(OR(E68="Confirmed",E68="Completed"),IF(D68="Full day",Settings!$B$7,1),0))</f>
        <v/>
      </c>
      <c r="P68" s="12">
        <f>IF(O68&gt;0,H68,0)</f>
        <v/>
      </c>
      <c r="Q68" s="12">
        <f>IF(OR(E68="Confirmed",E68="Completed"),N(K68),0)</f>
        <v/>
      </c>
    </row>
    <row r="69">
      <c r="A69" s="8" t="n"/>
      <c r="B69" s="8" t="n"/>
      <c r="C69" s="4" t="n"/>
      <c r="D69" s="8" t="n"/>
      <c r="E69" s="8" t="n"/>
      <c r="F69" s="4" t="n"/>
      <c r="G69" s="9">
        <f>IF(AND(A69&lt;&gt;"",E69="Tentative"),F69+Settings!$B$5,"")</f>
        <v/>
      </c>
      <c r="H69" s="10" t="n"/>
      <c r="I69" s="10" t="n"/>
      <c r="J69" s="11">
        <f>IF(OR(A69="",H69=""),"",IF(H69=0,"",I69/H69))</f>
        <v/>
      </c>
      <c r="K69" s="12">
        <f>IF(OR(A69="",E69="Cancelled"),"",H69-I69)</f>
        <v/>
      </c>
      <c r="L69" s="13">
        <f>IF(OR(A69="",C69=""),"",C69-Settings!$B$4)</f>
        <v/>
      </c>
      <c r="M69" s="14">
        <f>IF(A69="","",IF(E69="Tentative",IF(G69&lt;Settings!$B$4,"Release hold or chase",IF(G69=Settings!$B$4,"Hold expires today","Hold running")),IF(E69="Cancelled","Closed",IF(J69&lt;Settings!$B$6,IF(E69="Completed","Check advance","Advance below minimum"),IF(AND(K69&gt;0,L69&lt;0),"Overdue balance",IF(AND(K69&gt;0,L69&lt;=15),"Balance due within 15 days","OK"))))))</f>
        <v/>
      </c>
      <c r="N69" s="13">
        <f>IF(C69="","",YEAR(C69)*100+MONTH(C69))</f>
        <v/>
      </c>
      <c r="O69" s="13">
        <f>IF(A69="",0,IF(OR(E69="Confirmed",E69="Completed"),IF(D69="Full day",Settings!$B$7,1),0))</f>
        <v/>
      </c>
      <c r="P69" s="12">
        <f>IF(O69&gt;0,H69,0)</f>
        <v/>
      </c>
      <c r="Q69" s="12">
        <f>IF(OR(E69="Confirmed",E69="Completed"),N(K69),0)</f>
        <v/>
      </c>
    </row>
    <row r="70">
      <c r="A70" s="8" t="n"/>
      <c r="B70" s="8" t="n"/>
      <c r="C70" s="4" t="n"/>
      <c r="D70" s="8" t="n"/>
      <c r="E70" s="8" t="n"/>
      <c r="F70" s="4" t="n"/>
      <c r="G70" s="9">
        <f>IF(AND(A70&lt;&gt;"",E70="Tentative"),F70+Settings!$B$5,"")</f>
        <v/>
      </c>
      <c r="H70" s="10" t="n"/>
      <c r="I70" s="10" t="n"/>
      <c r="J70" s="11">
        <f>IF(OR(A70="",H70=""),"",IF(H70=0,"",I70/H70))</f>
        <v/>
      </c>
      <c r="K70" s="12">
        <f>IF(OR(A70="",E70="Cancelled"),"",H70-I70)</f>
        <v/>
      </c>
      <c r="L70" s="13">
        <f>IF(OR(A70="",C70=""),"",C70-Settings!$B$4)</f>
        <v/>
      </c>
      <c r="M70" s="14">
        <f>IF(A70="","",IF(E70="Tentative",IF(G70&lt;Settings!$B$4,"Release hold or chase",IF(G70=Settings!$B$4,"Hold expires today","Hold running")),IF(E70="Cancelled","Closed",IF(J70&lt;Settings!$B$6,IF(E70="Completed","Check advance","Advance below minimum"),IF(AND(K70&gt;0,L70&lt;0),"Overdue balance",IF(AND(K70&gt;0,L70&lt;=15),"Balance due within 15 days","OK"))))))</f>
        <v/>
      </c>
      <c r="N70" s="13">
        <f>IF(C70="","",YEAR(C70)*100+MONTH(C70))</f>
        <v/>
      </c>
      <c r="O70" s="13">
        <f>IF(A70="",0,IF(OR(E70="Confirmed",E70="Completed"),IF(D70="Full day",Settings!$B$7,1),0))</f>
        <v/>
      </c>
      <c r="P70" s="12">
        <f>IF(O70&gt;0,H70,0)</f>
        <v/>
      </c>
      <c r="Q70" s="12">
        <f>IF(OR(E70="Confirmed",E70="Completed"),N(K70),0)</f>
        <v/>
      </c>
    </row>
    <row r="71">
      <c r="A71" s="8" t="n"/>
      <c r="B71" s="8" t="n"/>
      <c r="C71" s="4" t="n"/>
      <c r="D71" s="8" t="n"/>
      <c r="E71" s="8" t="n"/>
      <c r="F71" s="4" t="n"/>
      <c r="G71" s="9">
        <f>IF(AND(A71&lt;&gt;"",E71="Tentative"),F71+Settings!$B$5,"")</f>
        <v/>
      </c>
      <c r="H71" s="10" t="n"/>
      <c r="I71" s="10" t="n"/>
      <c r="J71" s="11">
        <f>IF(OR(A71="",H71=""),"",IF(H71=0,"",I71/H71))</f>
        <v/>
      </c>
      <c r="K71" s="12">
        <f>IF(OR(A71="",E71="Cancelled"),"",H71-I71)</f>
        <v/>
      </c>
      <c r="L71" s="13">
        <f>IF(OR(A71="",C71=""),"",C71-Settings!$B$4)</f>
        <v/>
      </c>
      <c r="M71" s="14">
        <f>IF(A71="","",IF(E71="Tentative",IF(G71&lt;Settings!$B$4,"Release hold or chase",IF(G71=Settings!$B$4,"Hold expires today","Hold running")),IF(E71="Cancelled","Closed",IF(J71&lt;Settings!$B$6,IF(E71="Completed","Check advance","Advance below minimum"),IF(AND(K71&gt;0,L71&lt;0),"Overdue balance",IF(AND(K71&gt;0,L71&lt;=15),"Balance due within 15 days","OK"))))))</f>
        <v/>
      </c>
      <c r="N71" s="13">
        <f>IF(C71="","",YEAR(C71)*100+MONTH(C71))</f>
        <v/>
      </c>
      <c r="O71" s="13">
        <f>IF(A71="",0,IF(OR(E71="Confirmed",E71="Completed"),IF(D71="Full day",Settings!$B$7,1),0))</f>
        <v/>
      </c>
      <c r="P71" s="12">
        <f>IF(O71&gt;0,H71,0)</f>
        <v/>
      </c>
      <c r="Q71" s="12">
        <f>IF(OR(E71="Confirmed",E71="Completed"),N(K71),0)</f>
        <v/>
      </c>
    </row>
    <row r="72">
      <c r="A72" s="8" t="n"/>
      <c r="B72" s="8" t="n"/>
      <c r="C72" s="4" t="n"/>
      <c r="D72" s="8" t="n"/>
      <c r="E72" s="8" t="n"/>
      <c r="F72" s="4" t="n"/>
      <c r="G72" s="9">
        <f>IF(AND(A72&lt;&gt;"",E72="Tentative"),F72+Settings!$B$5,"")</f>
        <v/>
      </c>
      <c r="H72" s="10" t="n"/>
      <c r="I72" s="10" t="n"/>
      <c r="J72" s="11">
        <f>IF(OR(A72="",H72=""),"",IF(H72=0,"",I72/H72))</f>
        <v/>
      </c>
      <c r="K72" s="12">
        <f>IF(OR(A72="",E72="Cancelled"),"",H72-I72)</f>
        <v/>
      </c>
      <c r="L72" s="13">
        <f>IF(OR(A72="",C72=""),"",C72-Settings!$B$4)</f>
        <v/>
      </c>
      <c r="M72" s="14">
        <f>IF(A72="","",IF(E72="Tentative",IF(G72&lt;Settings!$B$4,"Release hold or chase",IF(G72=Settings!$B$4,"Hold expires today","Hold running")),IF(E72="Cancelled","Closed",IF(J72&lt;Settings!$B$6,IF(E72="Completed","Check advance","Advance below minimum"),IF(AND(K72&gt;0,L72&lt;0),"Overdue balance",IF(AND(K72&gt;0,L72&lt;=15),"Balance due within 15 days","OK"))))))</f>
        <v/>
      </c>
      <c r="N72" s="13">
        <f>IF(C72="","",YEAR(C72)*100+MONTH(C72))</f>
        <v/>
      </c>
      <c r="O72" s="13">
        <f>IF(A72="",0,IF(OR(E72="Confirmed",E72="Completed"),IF(D72="Full day",Settings!$B$7,1),0))</f>
        <v/>
      </c>
      <c r="P72" s="12">
        <f>IF(O72&gt;0,H72,0)</f>
        <v/>
      </c>
      <c r="Q72" s="12">
        <f>IF(OR(E72="Confirmed",E72="Completed"),N(K72),0)</f>
        <v/>
      </c>
    </row>
    <row r="73">
      <c r="A73" s="8" t="n"/>
      <c r="B73" s="8" t="n"/>
      <c r="C73" s="4" t="n"/>
      <c r="D73" s="8" t="n"/>
      <c r="E73" s="8" t="n"/>
      <c r="F73" s="4" t="n"/>
      <c r="G73" s="9">
        <f>IF(AND(A73&lt;&gt;"",E73="Tentative"),F73+Settings!$B$5,"")</f>
        <v/>
      </c>
      <c r="H73" s="10" t="n"/>
      <c r="I73" s="10" t="n"/>
      <c r="J73" s="11">
        <f>IF(OR(A73="",H73=""),"",IF(H73=0,"",I73/H73))</f>
        <v/>
      </c>
      <c r="K73" s="12">
        <f>IF(OR(A73="",E73="Cancelled"),"",H73-I73)</f>
        <v/>
      </c>
      <c r="L73" s="13">
        <f>IF(OR(A73="",C73=""),"",C73-Settings!$B$4)</f>
        <v/>
      </c>
      <c r="M73" s="14">
        <f>IF(A73="","",IF(E73="Tentative",IF(G73&lt;Settings!$B$4,"Release hold or chase",IF(G73=Settings!$B$4,"Hold expires today","Hold running")),IF(E73="Cancelled","Closed",IF(J73&lt;Settings!$B$6,IF(E73="Completed","Check advance","Advance below minimum"),IF(AND(K73&gt;0,L73&lt;0),"Overdue balance",IF(AND(K73&gt;0,L73&lt;=15),"Balance due within 15 days","OK"))))))</f>
        <v/>
      </c>
      <c r="N73" s="13">
        <f>IF(C73="","",YEAR(C73)*100+MONTH(C73))</f>
        <v/>
      </c>
      <c r="O73" s="13">
        <f>IF(A73="",0,IF(OR(E73="Confirmed",E73="Completed"),IF(D73="Full day",Settings!$B$7,1),0))</f>
        <v/>
      </c>
      <c r="P73" s="12">
        <f>IF(O73&gt;0,H73,0)</f>
        <v/>
      </c>
      <c r="Q73" s="12">
        <f>IF(OR(E73="Confirmed",E73="Completed"),N(K73),0)</f>
        <v/>
      </c>
    </row>
    <row r="74">
      <c r="A74" s="8" t="n"/>
      <c r="B74" s="8" t="n"/>
      <c r="C74" s="4" t="n"/>
      <c r="D74" s="8" t="n"/>
      <c r="E74" s="8" t="n"/>
      <c r="F74" s="4" t="n"/>
      <c r="G74" s="9">
        <f>IF(AND(A74&lt;&gt;"",E74="Tentative"),F74+Settings!$B$5,"")</f>
        <v/>
      </c>
      <c r="H74" s="10" t="n"/>
      <c r="I74" s="10" t="n"/>
      <c r="J74" s="11">
        <f>IF(OR(A74="",H74=""),"",IF(H74=0,"",I74/H74))</f>
        <v/>
      </c>
      <c r="K74" s="12">
        <f>IF(OR(A74="",E74="Cancelled"),"",H74-I74)</f>
        <v/>
      </c>
      <c r="L74" s="13">
        <f>IF(OR(A74="",C74=""),"",C74-Settings!$B$4)</f>
        <v/>
      </c>
      <c r="M74" s="14">
        <f>IF(A74="","",IF(E74="Tentative",IF(G74&lt;Settings!$B$4,"Release hold or chase",IF(G74=Settings!$B$4,"Hold expires today","Hold running")),IF(E74="Cancelled","Closed",IF(J74&lt;Settings!$B$6,IF(E74="Completed","Check advance","Advance below minimum"),IF(AND(K74&gt;0,L74&lt;0),"Overdue balance",IF(AND(K74&gt;0,L74&lt;=15),"Balance due within 15 days","OK"))))))</f>
        <v/>
      </c>
      <c r="N74" s="13">
        <f>IF(C74="","",YEAR(C74)*100+MONTH(C74))</f>
        <v/>
      </c>
      <c r="O74" s="13">
        <f>IF(A74="",0,IF(OR(E74="Confirmed",E74="Completed"),IF(D74="Full day",Settings!$B$7,1),0))</f>
        <v/>
      </c>
      <c r="P74" s="12">
        <f>IF(O74&gt;0,H74,0)</f>
        <v/>
      </c>
      <c r="Q74" s="12">
        <f>IF(OR(E74="Confirmed",E74="Completed"),N(K74),0)</f>
        <v/>
      </c>
    </row>
    <row r="75">
      <c r="A75" s="8" t="n"/>
      <c r="B75" s="8" t="n"/>
      <c r="C75" s="4" t="n"/>
      <c r="D75" s="8" t="n"/>
      <c r="E75" s="8" t="n"/>
      <c r="F75" s="4" t="n"/>
      <c r="G75" s="9">
        <f>IF(AND(A75&lt;&gt;"",E75="Tentative"),F75+Settings!$B$5,"")</f>
        <v/>
      </c>
      <c r="H75" s="10" t="n"/>
      <c r="I75" s="10" t="n"/>
      <c r="J75" s="11">
        <f>IF(OR(A75="",H75=""),"",IF(H75=0,"",I75/H75))</f>
        <v/>
      </c>
      <c r="K75" s="12">
        <f>IF(OR(A75="",E75="Cancelled"),"",H75-I75)</f>
        <v/>
      </c>
      <c r="L75" s="13">
        <f>IF(OR(A75="",C75=""),"",C75-Settings!$B$4)</f>
        <v/>
      </c>
      <c r="M75" s="14">
        <f>IF(A75="","",IF(E75="Tentative",IF(G75&lt;Settings!$B$4,"Release hold or chase",IF(G75=Settings!$B$4,"Hold expires today","Hold running")),IF(E75="Cancelled","Closed",IF(J75&lt;Settings!$B$6,IF(E75="Completed","Check advance","Advance below minimum"),IF(AND(K75&gt;0,L75&lt;0),"Overdue balance",IF(AND(K75&gt;0,L75&lt;=15),"Balance due within 15 days","OK"))))))</f>
        <v/>
      </c>
      <c r="N75" s="13">
        <f>IF(C75="","",YEAR(C75)*100+MONTH(C75))</f>
        <v/>
      </c>
      <c r="O75" s="13">
        <f>IF(A75="",0,IF(OR(E75="Confirmed",E75="Completed"),IF(D75="Full day",Settings!$B$7,1),0))</f>
        <v/>
      </c>
      <c r="P75" s="12">
        <f>IF(O75&gt;0,H75,0)</f>
        <v/>
      </c>
      <c r="Q75" s="12">
        <f>IF(OR(E75="Confirmed",E75="Completed"),N(K75),0)</f>
        <v/>
      </c>
    </row>
    <row r="76">
      <c r="A76" s="8" t="n"/>
      <c r="B76" s="8" t="n"/>
      <c r="C76" s="4" t="n"/>
      <c r="D76" s="8" t="n"/>
      <c r="E76" s="8" t="n"/>
      <c r="F76" s="4" t="n"/>
      <c r="G76" s="9">
        <f>IF(AND(A76&lt;&gt;"",E76="Tentative"),F76+Settings!$B$5,"")</f>
        <v/>
      </c>
      <c r="H76" s="10" t="n"/>
      <c r="I76" s="10" t="n"/>
      <c r="J76" s="11">
        <f>IF(OR(A76="",H76=""),"",IF(H76=0,"",I76/H76))</f>
        <v/>
      </c>
      <c r="K76" s="12">
        <f>IF(OR(A76="",E76="Cancelled"),"",H76-I76)</f>
        <v/>
      </c>
      <c r="L76" s="13">
        <f>IF(OR(A76="",C76=""),"",C76-Settings!$B$4)</f>
        <v/>
      </c>
      <c r="M76" s="14">
        <f>IF(A76="","",IF(E76="Tentative",IF(G76&lt;Settings!$B$4,"Release hold or chase",IF(G76=Settings!$B$4,"Hold expires today","Hold running")),IF(E76="Cancelled","Closed",IF(J76&lt;Settings!$B$6,IF(E76="Completed","Check advance","Advance below minimum"),IF(AND(K76&gt;0,L76&lt;0),"Overdue balance",IF(AND(K76&gt;0,L76&lt;=15),"Balance due within 15 days","OK"))))))</f>
        <v/>
      </c>
      <c r="N76" s="13">
        <f>IF(C76="","",YEAR(C76)*100+MONTH(C76))</f>
        <v/>
      </c>
      <c r="O76" s="13">
        <f>IF(A76="",0,IF(OR(E76="Confirmed",E76="Completed"),IF(D76="Full day",Settings!$B$7,1),0))</f>
        <v/>
      </c>
      <c r="P76" s="12">
        <f>IF(O76&gt;0,H76,0)</f>
        <v/>
      </c>
      <c r="Q76" s="12">
        <f>IF(OR(E76="Confirmed",E76="Completed"),N(K76),0)</f>
        <v/>
      </c>
    </row>
    <row r="77">
      <c r="A77" s="8" t="n"/>
      <c r="B77" s="8" t="n"/>
      <c r="C77" s="4" t="n"/>
      <c r="D77" s="8" t="n"/>
      <c r="E77" s="8" t="n"/>
      <c r="F77" s="4" t="n"/>
      <c r="G77" s="9">
        <f>IF(AND(A77&lt;&gt;"",E77="Tentative"),F77+Settings!$B$5,"")</f>
        <v/>
      </c>
      <c r="H77" s="10" t="n"/>
      <c r="I77" s="10" t="n"/>
      <c r="J77" s="11">
        <f>IF(OR(A77="",H77=""),"",IF(H77=0,"",I77/H77))</f>
        <v/>
      </c>
      <c r="K77" s="12">
        <f>IF(OR(A77="",E77="Cancelled"),"",H77-I77)</f>
        <v/>
      </c>
      <c r="L77" s="13">
        <f>IF(OR(A77="",C77=""),"",C77-Settings!$B$4)</f>
        <v/>
      </c>
      <c r="M77" s="14">
        <f>IF(A77="","",IF(E77="Tentative",IF(G77&lt;Settings!$B$4,"Release hold or chase",IF(G77=Settings!$B$4,"Hold expires today","Hold running")),IF(E77="Cancelled","Closed",IF(J77&lt;Settings!$B$6,IF(E77="Completed","Check advance","Advance below minimum"),IF(AND(K77&gt;0,L77&lt;0),"Overdue balance",IF(AND(K77&gt;0,L77&lt;=15),"Balance due within 15 days","OK"))))))</f>
        <v/>
      </c>
      <c r="N77" s="13">
        <f>IF(C77="","",YEAR(C77)*100+MONTH(C77))</f>
        <v/>
      </c>
      <c r="O77" s="13">
        <f>IF(A77="",0,IF(OR(E77="Confirmed",E77="Completed"),IF(D77="Full day",Settings!$B$7,1),0))</f>
        <v/>
      </c>
      <c r="P77" s="12">
        <f>IF(O77&gt;0,H77,0)</f>
        <v/>
      </c>
      <c r="Q77" s="12">
        <f>IF(OR(E77="Confirmed",E77="Completed"),N(K77),0)</f>
        <v/>
      </c>
    </row>
    <row r="78">
      <c r="A78" s="8" t="n"/>
      <c r="B78" s="8" t="n"/>
      <c r="C78" s="4" t="n"/>
      <c r="D78" s="8" t="n"/>
      <c r="E78" s="8" t="n"/>
      <c r="F78" s="4" t="n"/>
      <c r="G78" s="9">
        <f>IF(AND(A78&lt;&gt;"",E78="Tentative"),F78+Settings!$B$5,"")</f>
        <v/>
      </c>
      <c r="H78" s="10" t="n"/>
      <c r="I78" s="10" t="n"/>
      <c r="J78" s="11">
        <f>IF(OR(A78="",H78=""),"",IF(H78=0,"",I78/H78))</f>
        <v/>
      </c>
      <c r="K78" s="12">
        <f>IF(OR(A78="",E78="Cancelled"),"",H78-I78)</f>
        <v/>
      </c>
      <c r="L78" s="13">
        <f>IF(OR(A78="",C78=""),"",C78-Settings!$B$4)</f>
        <v/>
      </c>
      <c r="M78" s="14">
        <f>IF(A78="","",IF(E78="Tentative",IF(G78&lt;Settings!$B$4,"Release hold or chase",IF(G78=Settings!$B$4,"Hold expires today","Hold running")),IF(E78="Cancelled","Closed",IF(J78&lt;Settings!$B$6,IF(E78="Completed","Check advance","Advance below minimum"),IF(AND(K78&gt;0,L78&lt;0),"Overdue balance",IF(AND(K78&gt;0,L78&lt;=15),"Balance due within 15 days","OK"))))))</f>
        <v/>
      </c>
      <c r="N78" s="13">
        <f>IF(C78="","",YEAR(C78)*100+MONTH(C78))</f>
        <v/>
      </c>
      <c r="O78" s="13">
        <f>IF(A78="",0,IF(OR(E78="Confirmed",E78="Completed"),IF(D78="Full day",Settings!$B$7,1),0))</f>
        <v/>
      </c>
      <c r="P78" s="12">
        <f>IF(O78&gt;0,H78,0)</f>
        <v/>
      </c>
      <c r="Q78" s="12">
        <f>IF(OR(E78="Confirmed",E78="Completed"),N(K78),0)</f>
        <v/>
      </c>
    </row>
    <row r="79">
      <c r="A79" s="8" t="n"/>
      <c r="B79" s="8" t="n"/>
      <c r="C79" s="4" t="n"/>
      <c r="D79" s="8" t="n"/>
      <c r="E79" s="8" t="n"/>
      <c r="F79" s="4" t="n"/>
      <c r="G79" s="9">
        <f>IF(AND(A79&lt;&gt;"",E79="Tentative"),F79+Settings!$B$5,"")</f>
        <v/>
      </c>
      <c r="H79" s="10" t="n"/>
      <c r="I79" s="10" t="n"/>
      <c r="J79" s="11">
        <f>IF(OR(A79="",H79=""),"",IF(H79=0,"",I79/H79))</f>
        <v/>
      </c>
      <c r="K79" s="12">
        <f>IF(OR(A79="",E79="Cancelled"),"",H79-I79)</f>
        <v/>
      </c>
      <c r="L79" s="13">
        <f>IF(OR(A79="",C79=""),"",C79-Settings!$B$4)</f>
        <v/>
      </c>
      <c r="M79" s="14">
        <f>IF(A79="","",IF(E79="Tentative",IF(G79&lt;Settings!$B$4,"Release hold or chase",IF(G79=Settings!$B$4,"Hold expires today","Hold running")),IF(E79="Cancelled","Closed",IF(J79&lt;Settings!$B$6,IF(E79="Completed","Check advance","Advance below minimum"),IF(AND(K79&gt;0,L79&lt;0),"Overdue balance",IF(AND(K79&gt;0,L79&lt;=15),"Balance due within 15 days","OK"))))))</f>
        <v/>
      </c>
      <c r="N79" s="13">
        <f>IF(C79="","",YEAR(C79)*100+MONTH(C79))</f>
        <v/>
      </c>
      <c r="O79" s="13">
        <f>IF(A79="",0,IF(OR(E79="Confirmed",E79="Completed"),IF(D79="Full day",Settings!$B$7,1),0))</f>
        <v/>
      </c>
      <c r="P79" s="12">
        <f>IF(O79&gt;0,H79,0)</f>
        <v/>
      </c>
      <c r="Q79" s="12">
        <f>IF(OR(E79="Confirmed",E79="Completed"),N(K79),0)</f>
        <v/>
      </c>
    </row>
    <row r="80">
      <c r="A80" s="8" t="n"/>
      <c r="B80" s="8" t="n"/>
      <c r="C80" s="4" t="n"/>
      <c r="D80" s="8" t="n"/>
      <c r="E80" s="8" t="n"/>
      <c r="F80" s="4" t="n"/>
      <c r="G80" s="9">
        <f>IF(AND(A80&lt;&gt;"",E80="Tentative"),F80+Settings!$B$5,"")</f>
        <v/>
      </c>
      <c r="H80" s="10" t="n"/>
      <c r="I80" s="10" t="n"/>
      <c r="J80" s="11">
        <f>IF(OR(A80="",H80=""),"",IF(H80=0,"",I80/H80))</f>
        <v/>
      </c>
      <c r="K80" s="12">
        <f>IF(OR(A80="",E80="Cancelled"),"",H80-I80)</f>
        <v/>
      </c>
      <c r="L80" s="13">
        <f>IF(OR(A80="",C80=""),"",C80-Settings!$B$4)</f>
        <v/>
      </c>
      <c r="M80" s="14">
        <f>IF(A80="","",IF(E80="Tentative",IF(G80&lt;Settings!$B$4,"Release hold or chase",IF(G80=Settings!$B$4,"Hold expires today","Hold running")),IF(E80="Cancelled","Closed",IF(J80&lt;Settings!$B$6,IF(E80="Completed","Check advance","Advance below minimum"),IF(AND(K80&gt;0,L80&lt;0),"Overdue balance",IF(AND(K80&gt;0,L80&lt;=15),"Balance due within 15 days","OK"))))))</f>
        <v/>
      </c>
      <c r="N80" s="13">
        <f>IF(C80="","",YEAR(C80)*100+MONTH(C80))</f>
        <v/>
      </c>
      <c r="O80" s="13">
        <f>IF(A80="",0,IF(OR(E80="Confirmed",E80="Completed"),IF(D80="Full day",Settings!$B$7,1),0))</f>
        <v/>
      </c>
      <c r="P80" s="12">
        <f>IF(O80&gt;0,H80,0)</f>
        <v/>
      </c>
      <c r="Q80" s="12">
        <f>IF(OR(E80="Confirmed",E80="Completed"),N(K80),0)</f>
        <v/>
      </c>
    </row>
    <row r="81">
      <c r="A81" s="8" t="n"/>
      <c r="B81" s="8" t="n"/>
      <c r="C81" s="4" t="n"/>
      <c r="D81" s="8" t="n"/>
      <c r="E81" s="8" t="n"/>
      <c r="F81" s="4" t="n"/>
      <c r="G81" s="9">
        <f>IF(AND(A81&lt;&gt;"",E81="Tentative"),F81+Settings!$B$5,"")</f>
        <v/>
      </c>
      <c r="H81" s="10" t="n"/>
      <c r="I81" s="10" t="n"/>
      <c r="J81" s="11">
        <f>IF(OR(A81="",H81=""),"",IF(H81=0,"",I81/H81))</f>
        <v/>
      </c>
      <c r="K81" s="12">
        <f>IF(OR(A81="",E81="Cancelled"),"",H81-I81)</f>
        <v/>
      </c>
      <c r="L81" s="13">
        <f>IF(OR(A81="",C81=""),"",C81-Settings!$B$4)</f>
        <v/>
      </c>
      <c r="M81" s="14">
        <f>IF(A81="","",IF(E81="Tentative",IF(G81&lt;Settings!$B$4,"Release hold or chase",IF(G81=Settings!$B$4,"Hold expires today","Hold running")),IF(E81="Cancelled","Closed",IF(J81&lt;Settings!$B$6,IF(E81="Completed","Check advance","Advance below minimum"),IF(AND(K81&gt;0,L81&lt;0),"Overdue balance",IF(AND(K81&gt;0,L81&lt;=15),"Balance due within 15 days","OK"))))))</f>
        <v/>
      </c>
      <c r="N81" s="13">
        <f>IF(C81="","",YEAR(C81)*100+MONTH(C81))</f>
        <v/>
      </c>
      <c r="O81" s="13">
        <f>IF(A81="",0,IF(OR(E81="Confirmed",E81="Completed"),IF(D81="Full day",Settings!$B$7,1),0))</f>
        <v/>
      </c>
      <c r="P81" s="12">
        <f>IF(O81&gt;0,H81,0)</f>
        <v/>
      </c>
      <c r="Q81" s="12">
        <f>IF(OR(E81="Confirmed",E81="Completed"),N(K81),0)</f>
        <v/>
      </c>
    </row>
    <row r="82">
      <c r="A82" s="8" t="n"/>
      <c r="B82" s="8" t="n"/>
      <c r="C82" s="4" t="n"/>
      <c r="D82" s="8" t="n"/>
      <c r="E82" s="8" t="n"/>
      <c r="F82" s="4" t="n"/>
      <c r="G82" s="9">
        <f>IF(AND(A82&lt;&gt;"",E82="Tentative"),F82+Settings!$B$5,"")</f>
        <v/>
      </c>
      <c r="H82" s="10" t="n"/>
      <c r="I82" s="10" t="n"/>
      <c r="J82" s="11">
        <f>IF(OR(A82="",H82=""),"",IF(H82=0,"",I82/H82))</f>
        <v/>
      </c>
      <c r="K82" s="12">
        <f>IF(OR(A82="",E82="Cancelled"),"",H82-I82)</f>
        <v/>
      </c>
      <c r="L82" s="13">
        <f>IF(OR(A82="",C82=""),"",C82-Settings!$B$4)</f>
        <v/>
      </c>
      <c r="M82" s="14">
        <f>IF(A82="","",IF(E82="Tentative",IF(G82&lt;Settings!$B$4,"Release hold or chase",IF(G82=Settings!$B$4,"Hold expires today","Hold running")),IF(E82="Cancelled","Closed",IF(J82&lt;Settings!$B$6,IF(E82="Completed","Check advance","Advance below minimum"),IF(AND(K82&gt;0,L82&lt;0),"Overdue balance",IF(AND(K82&gt;0,L82&lt;=15),"Balance due within 15 days","OK"))))))</f>
        <v/>
      </c>
      <c r="N82" s="13">
        <f>IF(C82="","",YEAR(C82)*100+MONTH(C82))</f>
        <v/>
      </c>
      <c r="O82" s="13">
        <f>IF(A82="",0,IF(OR(E82="Confirmed",E82="Completed"),IF(D82="Full day",Settings!$B$7,1),0))</f>
        <v/>
      </c>
      <c r="P82" s="12">
        <f>IF(O82&gt;0,H82,0)</f>
        <v/>
      </c>
      <c r="Q82" s="12">
        <f>IF(OR(E82="Confirmed",E82="Completed"),N(K82),0)</f>
        <v/>
      </c>
    </row>
    <row r="83">
      <c r="A83" s="8" t="n"/>
      <c r="B83" s="8" t="n"/>
      <c r="C83" s="4" t="n"/>
      <c r="D83" s="8" t="n"/>
      <c r="E83" s="8" t="n"/>
      <c r="F83" s="4" t="n"/>
      <c r="G83" s="9">
        <f>IF(AND(A83&lt;&gt;"",E83="Tentative"),F83+Settings!$B$5,"")</f>
        <v/>
      </c>
      <c r="H83" s="10" t="n"/>
      <c r="I83" s="10" t="n"/>
      <c r="J83" s="11">
        <f>IF(OR(A83="",H83=""),"",IF(H83=0,"",I83/H83))</f>
        <v/>
      </c>
      <c r="K83" s="12">
        <f>IF(OR(A83="",E83="Cancelled"),"",H83-I83)</f>
        <v/>
      </c>
      <c r="L83" s="13">
        <f>IF(OR(A83="",C83=""),"",C83-Settings!$B$4)</f>
        <v/>
      </c>
      <c r="M83" s="14">
        <f>IF(A83="","",IF(E83="Tentative",IF(G83&lt;Settings!$B$4,"Release hold or chase",IF(G83=Settings!$B$4,"Hold expires today","Hold running")),IF(E83="Cancelled","Closed",IF(J83&lt;Settings!$B$6,IF(E83="Completed","Check advance","Advance below minimum"),IF(AND(K83&gt;0,L83&lt;0),"Overdue balance",IF(AND(K83&gt;0,L83&lt;=15),"Balance due within 15 days","OK"))))))</f>
        <v/>
      </c>
      <c r="N83" s="13">
        <f>IF(C83="","",YEAR(C83)*100+MONTH(C83))</f>
        <v/>
      </c>
      <c r="O83" s="13">
        <f>IF(A83="",0,IF(OR(E83="Confirmed",E83="Completed"),IF(D83="Full day",Settings!$B$7,1),0))</f>
        <v/>
      </c>
      <c r="P83" s="12">
        <f>IF(O83&gt;0,H83,0)</f>
        <v/>
      </c>
      <c r="Q83" s="12">
        <f>IF(OR(E83="Confirmed",E83="Completed"),N(K83),0)</f>
        <v/>
      </c>
    </row>
    <row r="84">
      <c r="A84" s="8" t="n"/>
      <c r="B84" s="8" t="n"/>
      <c r="C84" s="4" t="n"/>
      <c r="D84" s="8" t="n"/>
      <c r="E84" s="8" t="n"/>
      <c r="F84" s="4" t="n"/>
      <c r="G84" s="9">
        <f>IF(AND(A84&lt;&gt;"",E84="Tentative"),F84+Settings!$B$5,"")</f>
        <v/>
      </c>
      <c r="H84" s="10" t="n"/>
      <c r="I84" s="10" t="n"/>
      <c r="J84" s="11">
        <f>IF(OR(A84="",H84=""),"",IF(H84=0,"",I84/H84))</f>
        <v/>
      </c>
      <c r="K84" s="12">
        <f>IF(OR(A84="",E84="Cancelled"),"",H84-I84)</f>
        <v/>
      </c>
      <c r="L84" s="13">
        <f>IF(OR(A84="",C84=""),"",C84-Settings!$B$4)</f>
        <v/>
      </c>
      <c r="M84" s="14">
        <f>IF(A84="","",IF(E84="Tentative",IF(G84&lt;Settings!$B$4,"Release hold or chase",IF(G84=Settings!$B$4,"Hold expires today","Hold running")),IF(E84="Cancelled","Closed",IF(J84&lt;Settings!$B$6,IF(E84="Completed","Check advance","Advance below minimum"),IF(AND(K84&gt;0,L84&lt;0),"Overdue balance",IF(AND(K84&gt;0,L84&lt;=15),"Balance due within 15 days","OK"))))))</f>
        <v/>
      </c>
      <c r="N84" s="13">
        <f>IF(C84="","",YEAR(C84)*100+MONTH(C84))</f>
        <v/>
      </c>
      <c r="O84" s="13">
        <f>IF(A84="",0,IF(OR(E84="Confirmed",E84="Completed"),IF(D84="Full day",Settings!$B$7,1),0))</f>
        <v/>
      </c>
      <c r="P84" s="12">
        <f>IF(O84&gt;0,H84,0)</f>
        <v/>
      </c>
      <c r="Q84" s="12">
        <f>IF(OR(E84="Confirmed",E84="Completed"),N(K84),0)</f>
        <v/>
      </c>
    </row>
    <row r="85">
      <c r="A85" s="8" t="n"/>
      <c r="B85" s="8" t="n"/>
      <c r="C85" s="4" t="n"/>
      <c r="D85" s="8" t="n"/>
      <c r="E85" s="8" t="n"/>
      <c r="F85" s="4" t="n"/>
      <c r="G85" s="9">
        <f>IF(AND(A85&lt;&gt;"",E85="Tentative"),F85+Settings!$B$5,"")</f>
        <v/>
      </c>
      <c r="H85" s="10" t="n"/>
      <c r="I85" s="10" t="n"/>
      <c r="J85" s="11">
        <f>IF(OR(A85="",H85=""),"",IF(H85=0,"",I85/H85))</f>
        <v/>
      </c>
      <c r="K85" s="12">
        <f>IF(OR(A85="",E85="Cancelled"),"",H85-I85)</f>
        <v/>
      </c>
      <c r="L85" s="13">
        <f>IF(OR(A85="",C85=""),"",C85-Settings!$B$4)</f>
        <v/>
      </c>
      <c r="M85" s="14">
        <f>IF(A85="","",IF(E85="Tentative",IF(G85&lt;Settings!$B$4,"Release hold or chase",IF(G85=Settings!$B$4,"Hold expires today","Hold running")),IF(E85="Cancelled","Closed",IF(J85&lt;Settings!$B$6,IF(E85="Completed","Check advance","Advance below minimum"),IF(AND(K85&gt;0,L85&lt;0),"Overdue balance",IF(AND(K85&gt;0,L85&lt;=15),"Balance due within 15 days","OK"))))))</f>
        <v/>
      </c>
      <c r="N85" s="13">
        <f>IF(C85="","",YEAR(C85)*100+MONTH(C85))</f>
        <v/>
      </c>
      <c r="O85" s="13">
        <f>IF(A85="",0,IF(OR(E85="Confirmed",E85="Completed"),IF(D85="Full day",Settings!$B$7,1),0))</f>
        <v/>
      </c>
      <c r="P85" s="12">
        <f>IF(O85&gt;0,H85,0)</f>
        <v/>
      </c>
      <c r="Q85" s="12">
        <f>IF(OR(E85="Confirmed",E85="Completed"),N(K85),0)</f>
        <v/>
      </c>
    </row>
    <row r="86">
      <c r="A86" s="8" t="n"/>
      <c r="B86" s="8" t="n"/>
      <c r="C86" s="4" t="n"/>
      <c r="D86" s="8" t="n"/>
      <c r="E86" s="8" t="n"/>
      <c r="F86" s="4" t="n"/>
      <c r="G86" s="9">
        <f>IF(AND(A86&lt;&gt;"",E86="Tentative"),F86+Settings!$B$5,"")</f>
        <v/>
      </c>
      <c r="H86" s="10" t="n"/>
      <c r="I86" s="10" t="n"/>
      <c r="J86" s="11">
        <f>IF(OR(A86="",H86=""),"",IF(H86=0,"",I86/H86))</f>
        <v/>
      </c>
      <c r="K86" s="12">
        <f>IF(OR(A86="",E86="Cancelled"),"",H86-I86)</f>
        <v/>
      </c>
      <c r="L86" s="13">
        <f>IF(OR(A86="",C86=""),"",C86-Settings!$B$4)</f>
        <v/>
      </c>
      <c r="M86" s="14">
        <f>IF(A86="","",IF(E86="Tentative",IF(G86&lt;Settings!$B$4,"Release hold or chase",IF(G86=Settings!$B$4,"Hold expires today","Hold running")),IF(E86="Cancelled","Closed",IF(J86&lt;Settings!$B$6,IF(E86="Completed","Check advance","Advance below minimum"),IF(AND(K86&gt;0,L86&lt;0),"Overdue balance",IF(AND(K86&gt;0,L86&lt;=15),"Balance due within 15 days","OK"))))))</f>
        <v/>
      </c>
      <c r="N86" s="13">
        <f>IF(C86="","",YEAR(C86)*100+MONTH(C86))</f>
        <v/>
      </c>
      <c r="O86" s="13">
        <f>IF(A86="",0,IF(OR(E86="Confirmed",E86="Completed"),IF(D86="Full day",Settings!$B$7,1),0))</f>
        <v/>
      </c>
      <c r="P86" s="12">
        <f>IF(O86&gt;0,H86,0)</f>
        <v/>
      </c>
      <c r="Q86" s="12">
        <f>IF(OR(E86="Confirmed",E86="Completed"),N(K86),0)</f>
        <v/>
      </c>
    </row>
    <row r="87">
      <c r="A87" s="8" t="n"/>
      <c r="B87" s="8" t="n"/>
      <c r="C87" s="4" t="n"/>
      <c r="D87" s="8" t="n"/>
      <c r="E87" s="8" t="n"/>
      <c r="F87" s="4" t="n"/>
      <c r="G87" s="9">
        <f>IF(AND(A87&lt;&gt;"",E87="Tentative"),F87+Settings!$B$5,"")</f>
        <v/>
      </c>
      <c r="H87" s="10" t="n"/>
      <c r="I87" s="10" t="n"/>
      <c r="J87" s="11">
        <f>IF(OR(A87="",H87=""),"",IF(H87=0,"",I87/H87))</f>
        <v/>
      </c>
      <c r="K87" s="12">
        <f>IF(OR(A87="",E87="Cancelled"),"",H87-I87)</f>
        <v/>
      </c>
      <c r="L87" s="13">
        <f>IF(OR(A87="",C87=""),"",C87-Settings!$B$4)</f>
        <v/>
      </c>
      <c r="M87" s="14">
        <f>IF(A87="","",IF(E87="Tentative",IF(G87&lt;Settings!$B$4,"Release hold or chase",IF(G87=Settings!$B$4,"Hold expires today","Hold running")),IF(E87="Cancelled","Closed",IF(J87&lt;Settings!$B$6,IF(E87="Completed","Check advance","Advance below minimum"),IF(AND(K87&gt;0,L87&lt;0),"Overdue balance",IF(AND(K87&gt;0,L87&lt;=15),"Balance due within 15 days","OK"))))))</f>
        <v/>
      </c>
      <c r="N87" s="13">
        <f>IF(C87="","",YEAR(C87)*100+MONTH(C87))</f>
        <v/>
      </c>
      <c r="O87" s="13">
        <f>IF(A87="",0,IF(OR(E87="Confirmed",E87="Completed"),IF(D87="Full day",Settings!$B$7,1),0))</f>
        <v/>
      </c>
      <c r="P87" s="12">
        <f>IF(O87&gt;0,H87,0)</f>
        <v/>
      </c>
      <c r="Q87" s="12">
        <f>IF(OR(E87="Confirmed",E87="Completed"),N(K87),0)</f>
        <v/>
      </c>
    </row>
    <row r="88">
      <c r="A88" s="8" t="n"/>
      <c r="B88" s="8" t="n"/>
      <c r="C88" s="4" t="n"/>
      <c r="D88" s="8" t="n"/>
      <c r="E88" s="8" t="n"/>
      <c r="F88" s="4" t="n"/>
      <c r="G88" s="9">
        <f>IF(AND(A88&lt;&gt;"",E88="Tentative"),F88+Settings!$B$5,"")</f>
        <v/>
      </c>
      <c r="H88" s="10" t="n"/>
      <c r="I88" s="10" t="n"/>
      <c r="J88" s="11">
        <f>IF(OR(A88="",H88=""),"",IF(H88=0,"",I88/H88))</f>
        <v/>
      </c>
      <c r="K88" s="12">
        <f>IF(OR(A88="",E88="Cancelled"),"",H88-I88)</f>
        <v/>
      </c>
      <c r="L88" s="13">
        <f>IF(OR(A88="",C88=""),"",C88-Settings!$B$4)</f>
        <v/>
      </c>
      <c r="M88" s="14">
        <f>IF(A88="","",IF(E88="Tentative",IF(G88&lt;Settings!$B$4,"Release hold or chase",IF(G88=Settings!$B$4,"Hold expires today","Hold running")),IF(E88="Cancelled","Closed",IF(J88&lt;Settings!$B$6,IF(E88="Completed","Check advance","Advance below minimum"),IF(AND(K88&gt;0,L88&lt;0),"Overdue balance",IF(AND(K88&gt;0,L88&lt;=15),"Balance due within 15 days","OK"))))))</f>
        <v/>
      </c>
      <c r="N88" s="13">
        <f>IF(C88="","",YEAR(C88)*100+MONTH(C88))</f>
        <v/>
      </c>
      <c r="O88" s="13">
        <f>IF(A88="",0,IF(OR(E88="Confirmed",E88="Completed"),IF(D88="Full day",Settings!$B$7,1),0))</f>
        <v/>
      </c>
      <c r="P88" s="12">
        <f>IF(O88&gt;0,H88,0)</f>
        <v/>
      </c>
      <c r="Q88" s="12">
        <f>IF(OR(E88="Confirmed",E88="Completed"),N(K88),0)</f>
        <v/>
      </c>
    </row>
    <row r="89">
      <c r="A89" s="8" t="n"/>
      <c r="B89" s="8" t="n"/>
      <c r="C89" s="4" t="n"/>
      <c r="D89" s="8" t="n"/>
      <c r="E89" s="8" t="n"/>
      <c r="F89" s="4" t="n"/>
      <c r="G89" s="9">
        <f>IF(AND(A89&lt;&gt;"",E89="Tentative"),F89+Settings!$B$5,"")</f>
        <v/>
      </c>
      <c r="H89" s="10" t="n"/>
      <c r="I89" s="10" t="n"/>
      <c r="J89" s="11">
        <f>IF(OR(A89="",H89=""),"",IF(H89=0,"",I89/H89))</f>
        <v/>
      </c>
      <c r="K89" s="12">
        <f>IF(OR(A89="",E89="Cancelled"),"",H89-I89)</f>
        <v/>
      </c>
      <c r="L89" s="13">
        <f>IF(OR(A89="",C89=""),"",C89-Settings!$B$4)</f>
        <v/>
      </c>
      <c r="M89" s="14">
        <f>IF(A89="","",IF(E89="Tentative",IF(G89&lt;Settings!$B$4,"Release hold or chase",IF(G89=Settings!$B$4,"Hold expires today","Hold running")),IF(E89="Cancelled","Closed",IF(J89&lt;Settings!$B$6,IF(E89="Completed","Check advance","Advance below minimum"),IF(AND(K89&gt;0,L89&lt;0),"Overdue balance",IF(AND(K89&gt;0,L89&lt;=15),"Balance due within 15 days","OK"))))))</f>
        <v/>
      </c>
      <c r="N89" s="13">
        <f>IF(C89="","",YEAR(C89)*100+MONTH(C89))</f>
        <v/>
      </c>
      <c r="O89" s="13">
        <f>IF(A89="",0,IF(OR(E89="Confirmed",E89="Completed"),IF(D89="Full day",Settings!$B$7,1),0))</f>
        <v/>
      </c>
      <c r="P89" s="12">
        <f>IF(O89&gt;0,H89,0)</f>
        <v/>
      </c>
      <c r="Q89" s="12">
        <f>IF(OR(E89="Confirmed",E89="Completed"),N(K89),0)</f>
        <v/>
      </c>
    </row>
    <row r="90">
      <c r="A90" s="8" t="n"/>
      <c r="B90" s="8" t="n"/>
      <c r="C90" s="4" t="n"/>
      <c r="D90" s="8" t="n"/>
      <c r="E90" s="8" t="n"/>
      <c r="F90" s="4" t="n"/>
      <c r="G90" s="9">
        <f>IF(AND(A90&lt;&gt;"",E90="Tentative"),F90+Settings!$B$5,"")</f>
        <v/>
      </c>
      <c r="H90" s="10" t="n"/>
      <c r="I90" s="10" t="n"/>
      <c r="J90" s="11">
        <f>IF(OR(A90="",H90=""),"",IF(H90=0,"",I90/H90))</f>
        <v/>
      </c>
      <c r="K90" s="12">
        <f>IF(OR(A90="",E90="Cancelled"),"",H90-I90)</f>
        <v/>
      </c>
      <c r="L90" s="13">
        <f>IF(OR(A90="",C90=""),"",C90-Settings!$B$4)</f>
        <v/>
      </c>
      <c r="M90" s="14">
        <f>IF(A90="","",IF(E90="Tentative",IF(G90&lt;Settings!$B$4,"Release hold or chase",IF(G90=Settings!$B$4,"Hold expires today","Hold running")),IF(E90="Cancelled","Closed",IF(J90&lt;Settings!$B$6,IF(E90="Completed","Check advance","Advance below minimum"),IF(AND(K90&gt;0,L90&lt;0),"Overdue balance",IF(AND(K90&gt;0,L90&lt;=15),"Balance due within 15 days","OK"))))))</f>
        <v/>
      </c>
      <c r="N90" s="13">
        <f>IF(C90="","",YEAR(C90)*100+MONTH(C90))</f>
        <v/>
      </c>
      <c r="O90" s="13">
        <f>IF(A90="",0,IF(OR(E90="Confirmed",E90="Completed"),IF(D90="Full day",Settings!$B$7,1),0))</f>
        <v/>
      </c>
      <c r="P90" s="12">
        <f>IF(O90&gt;0,H90,0)</f>
        <v/>
      </c>
      <c r="Q90" s="12">
        <f>IF(OR(E90="Confirmed",E90="Completed"),N(K90),0)</f>
        <v/>
      </c>
    </row>
    <row r="91">
      <c r="A91" s="8" t="n"/>
      <c r="B91" s="8" t="n"/>
      <c r="C91" s="4" t="n"/>
      <c r="D91" s="8" t="n"/>
      <c r="E91" s="8" t="n"/>
      <c r="F91" s="4" t="n"/>
      <c r="G91" s="9">
        <f>IF(AND(A91&lt;&gt;"",E91="Tentative"),F91+Settings!$B$5,"")</f>
        <v/>
      </c>
      <c r="H91" s="10" t="n"/>
      <c r="I91" s="10" t="n"/>
      <c r="J91" s="11">
        <f>IF(OR(A91="",H91=""),"",IF(H91=0,"",I91/H91))</f>
        <v/>
      </c>
      <c r="K91" s="12">
        <f>IF(OR(A91="",E91="Cancelled"),"",H91-I91)</f>
        <v/>
      </c>
      <c r="L91" s="13">
        <f>IF(OR(A91="",C91=""),"",C91-Settings!$B$4)</f>
        <v/>
      </c>
      <c r="M91" s="14">
        <f>IF(A91="","",IF(E91="Tentative",IF(G91&lt;Settings!$B$4,"Release hold or chase",IF(G91=Settings!$B$4,"Hold expires today","Hold running")),IF(E91="Cancelled","Closed",IF(J91&lt;Settings!$B$6,IF(E91="Completed","Check advance","Advance below minimum"),IF(AND(K91&gt;0,L91&lt;0),"Overdue balance",IF(AND(K91&gt;0,L91&lt;=15),"Balance due within 15 days","OK"))))))</f>
        <v/>
      </c>
      <c r="N91" s="13">
        <f>IF(C91="","",YEAR(C91)*100+MONTH(C91))</f>
        <v/>
      </c>
      <c r="O91" s="13">
        <f>IF(A91="",0,IF(OR(E91="Confirmed",E91="Completed"),IF(D91="Full day",Settings!$B$7,1),0))</f>
        <v/>
      </c>
      <c r="P91" s="12">
        <f>IF(O91&gt;0,H91,0)</f>
        <v/>
      </c>
      <c r="Q91" s="12">
        <f>IF(OR(E91="Confirmed",E91="Completed"),N(K91),0)</f>
        <v/>
      </c>
    </row>
    <row r="92">
      <c r="A92" s="8" t="n"/>
      <c r="B92" s="8" t="n"/>
      <c r="C92" s="4" t="n"/>
      <c r="D92" s="8" t="n"/>
      <c r="E92" s="8" t="n"/>
      <c r="F92" s="4" t="n"/>
      <c r="G92" s="9">
        <f>IF(AND(A92&lt;&gt;"",E92="Tentative"),F92+Settings!$B$5,"")</f>
        <v/>
      </c>
      <c r="H92" s="10" t="n"/>
      <c r="I92" s="10" t="n"/>
      <c r="J92" s="11">
        <f>IF(OR(A92="",H92=""),"",IF(H92=0,"",I92/H92))</f>
        <v/>
      </c>
      <c r="K92" s="12">
        <f>IF(OR(A92="",E92="Cancelled"),"",H92-I92)</f>
        <v/>
      </c>
      <c r="L92" s="13">
        <f>IF(OR(A92="",C92=""),"",C92-Settings!$B$4)</f>
        <v/>
      </c>
      <c r="M92" s="14">
        <f>IF(A92="","",IF(E92="Tentative",IF(G92&lt;Settings!$B$4,"Release hold or chase",IF(G92=Settings!$B$4,"Hold expires today","Hold running")),IF(E92="Cancelled","Closed",IF(J92&lt;Settings!$B$6,IF(E92="Completed","Check advance","Advance below minimum"),IF(AND(K92&gt;0,L92&lt;0),"Overdue balance",IF(AND(K92&gt;0,L92&lt;=15),"Balance due within 15 days","OK"))))))</f>
        <v/>
      </c>
      <c r="N92" s="13">
        <f>IF(C92="","",YEAR(C92)*100+MONTH(C92))</f>
        <v/>
      </c>
      <c r="O92" s="13">
        <f>IF(A92="",0,IF(OR(E92="Confirmed",E92="Completed"),IF(D92="Full day",Settings!$B$7,1),0))</f>
        <v/>
      </c>
      <c r="P92" s="12">
        <f>IF(O92&gt;0,H92,0)</f>
        <v/>
      </c>
      <c r="Q92" s="12">
        <f>IF(OR(E92="Confirmed",E92="Completed"),N(K92),0)</f>
        <v/>
      </c>
    </row>
    <row r="93">
      <c r="A93" s="8" t="n"/>
      <c r="B93" s="8" t="n"/>
      <c r="C93" s="4" t="n"/>
      <c r="D93" s="8" t="n"/>
      <c r="E93" s="8" t="n"/>
      <c r="F93" s="4" t="n"/>
      <c r="G93" s="9">
        <f>IF(AND(A93&lt;&gt;"",E93="Tentative"),F93+Settings!$B$5,"")</f>
        <v/>
      </c>
      <c r="H93" s="10" t="n"/>
      <c r="I93" s="10" t="n"/>
      <c r="J93" s="11">
        <f>IF(OR(A93="",H93=""),"",IF(H93=0,"",I93/H93))</f>
        <v/>
      </c>
      <c r="K93" s="12">
        <f>IF(OR(A93="",E93="Cancelled"),"",H93-I93)</f>
        <v/>
      </c>
      <c r="L93" s="13">
        <f>IF(OR(A93="",C93=""),"",C93-Settings!$B$4)</f>
        <v/>
      </c>
      <c r="M93" s="14">
        <f>IF(A93="","",IF(E93="Tentative",IF(G93&lt;Settings!$B$4,"Release hold or chase",IF(G93=Settings!$B$4,"Hold expires today","Hold running")),IF(E93="Cancelled","Closed",IF(J93&lt;Settings!$B$6,IF(E93="Completed","Check advance","Advance below minimum"),IF(AND(K93&gt;0,L93&lt;0),"Overdue balance",IF(AND(K93&gt;0,L93&lt;=15),"Balance due within 15 days","OK"))))))</f>
        <v/>
      </c>
      <c r="N93" s="13">
        <f>IF(C93="","",YEAR(C93)*100+MONTH(C93))</f>
        <v/>
      </c>
      <c r="O93" s="13">
        <f>IF(A93="",0,IF(OR(E93="Confirmed",E93="Completed"),IF(D93="Full day",Settings!$B$7,1),0))</f>
        <v/>
      </c>
      <c r="P93" s="12">
        <f>IF(O93&gt;0,H93,0)</f>
        <v/>
      </c>
      <c r="Q93" s="12">
        <f>IF(OR(E93="Confirmed",E93="Completed"),N(K93),0)</f>
        <v/>
      </c>
    </row>
    <row r="94">
      <c r="A94" s="8" t="n"/>
      <c r="B94" s="8" t="n"/>
      <c r="C94" s="4" t="n"/>
      <c r="D94" s="8" t="n"/>
      <c r="E94" s="8" t="n"/>
      <c r="F94" s="4" t="n"/>
      <c r="G94" s="9">
        <f>IF(AND(A94&lt;&gt;"",E94="Tentative"),F94+Settings!$B$5,"")</f>
        <v/>
      </c>
      <c r="H94" s="10" t="n"/>
      <c r="I94" s="10" t="n"/>
      <c r="J94" s="11">
        <f>IF(OR(A94="",H94=""),"",IF(H94=0,"",I94/H94))</f>
        <v/>
      </c>
      <c r="K94" s="12">
        <f>IF(OR(A94="",E94="Cancelled"),"",H94-I94)</f>
        <v/>
      </c>
      <c r="L94" s="13">
        <f>IF(OR(A94="",C94=""),"",C94-Settings!$B$4)</f>
        <v/>
      </c>
      <c r="M94" s="14">
        <f>IF(A94="","",IF(E94="Tentative",IF(G94&lt;Settings!$B$4,"Release hold or chase",IF(G94=Settings!$B$4,"Hold expires today","Hold running")),IF(E94="Cancelled","Closed",IF(J94&lt;Settings!$B$6,IF(E94="Completed","Check advance","Advance below minimum"),IF(AND(K94&gt;0,L94&lt;0),"Overdue balance",IF(AND(K94&gt;0,L94&lt;=15),"Balance due within 15 days","OK"))))))</f>
        <v/>
      </c>
      <c r="N94" s="13">
        <f>IF(C94="","",YEAR(C94)*100+MONTH(C94))</f>
        <v/>
      </c>
      <c r="O94" s="13">
        <f>IF(A94="",0,IF(OR(E94="Confirmed",E94="Completed"),IF(D94="Full day",Settings!$B$7,1),0))</f>
        <v/>
      </c>
      <c r="P94" s="12">
        <f>IF(O94&gt;0,H94,0)</f>
        <v/>
      </c>
      <c r="Q94" s="12">
        <f>IF(OR(E94="Confirmed",E94="Completed"),N(K94),0)</f>
        <v/>
      </c>
    </row>
    <row r="95">
      <c r="A95" s="8" t="n"/>
      <c r="B95" s="8" t="n"/>
      <c r="C95" s="4" t="n"/>
      <c r="D95" s="8" t="n"/>
      <c r="E95" s="8" t="n"/>
      <c r="F95" s="4" t="n"/>
      <c r="G95" s="9">
        <f>IF(AND(A95&lt;&gt;"",E95="Tentative"),F95+Settings!$B$5,"")</f>
        <v/>
      </c>
      <c r="H95" s="10" t="n"/>
      <c r="I95" s="10" t="n"/>
      <c r="J95" s="11">
        <f>IF(OR(A95="",H95=""),"",IF(H95=0,"",I95/H95))</f>
        <v/>
      </c>
      <c r="K95" s="12">
        <f>IF(OR(A95="",E95="Cancelled"),"",H95-I95)</f>
        <v/>
      </c>
      <c r="L95" s="13">
        <f>IF(OR(A95="",C95=""),"",C95-Settings!$B$4)</f>
        <v/>
      </c>
      <c r="M95" s="14">
        <f>IF(A95="","",IF(E95="Tentative",IF(G95&lt;Settings!$B$4,"Release hold or chase",IF(G95=Settings!$B$4,"Hold expires today","Hold running")),IF(E95="Cancelled","Closed",IF(J95&lt;Settings!$B$6,IF(E95="Completed","Check advance","Advance below minimum"),IF(AND(K95&gt;0,L95&lt;0),"Overdue balance",IF(AND(K95&gt;0,L95&lt;=15),"Balance due within 15 days","OK"))))))</f>
        <v/>
      </c>
      <c r="N95" s="13">
        <f>IF(C95="","",YEAR(C95)*100+MONTH(C95))</f>
        <v/>
      </c>
      <c r="O95" s="13">
        <f>IF(A95="",0,IF(OR(E95="Confirmed",E95="Completed"),IF(D95="Full day",Settings!$B$7,1),0))</f>
        <v/>
      </c>
      <c r="P95" s="12">
        <f>IF(O95&gt;0,H95,0)</f>
        <v/>
      </c>
      <c r="Q95" s="12">
        <f>IF(OR(E95="Confirmed",E95="Completed"),N(K95),0)</f>
        <v/>
      </c>
    </row>
    <row r="96">
      <c r="A96" s="8" t="n"/>
      <c r="B96" s="8" t="n"/>
      <c r="C96" s="4" t="n"/>
      <c r="D96" s="8" t="n"/>
      <c r="E96" s="8" t="n"/>
      <c r="F96" s="4" t="n"/>
      <c r="G96" s="9">
        <f>IF(AND(A96&lt;&gt;"",E96="Tentative"),F96+Settings!$B$5,"")</f>
        <v/>
      </c>
      <c r="H96" s="10" t="n"/>
      <c r="I96" s="10" t="n"/>
      <c r="J96" s="11">
        <f>IF(OR(A96="",H96=""),"",IF(H96=0,"",I96/H96))</f>
        <v/>
      </c>
      <c r="K96" s="12">
        <f>IF(OR(A96="",E96="Cancelled"),"",H96-I96)</f>
        <v/>
      </c>
      <c r="L96" s="13">
        <f>IF(OR(A96="",C96=""),"",C96-Settings!$B$4)</f>
        <v/>
      </c>
      <c r="M96" s="14">
        <f>IF(A96="","",IF(E96="Tentative",IF(G96&lt;Settings!$B$4,"Release hold or chase",IF(G96=Settings!$B$4,"Hold expires today","Hold running")),IF(E96="Cancelled","Closed",IF(J96&lt;Settings!$B$6,IF(E96="Completed","Check advance","Advance below minimum"),IF(AND(K96&gt;0,L96&lt;0),"Overdue balance",IF(AND(K96&gt;0,L96&lt;=15),"Balance due within 15 days","OK"))))))</f>
        <v/>
      </c>
      <c r="N96" s="13">
        <f>IF(C96="","",YEAR(C96)*100+MONTH(C96))</f>
        <v/>
      </c>
      <c r="O96" s="13">
        <f>IF(A96="",0,IF(OR(E96="Confirmed",E96="Completed"),IF(D96="Full day",Settings!$B$7,1),0))</f>
        <v/>
      </c>
      <c r="P96" s="12">
        <f>IF(O96&gt;0,H96,0)</f>
        <v/>
      </c>
      <c r="Q96" s="12">
        <f>IF(OR(E96="Confirmed",E96="Completed"),N(K96),0)</f>
        <v/>
      </c>
    </row>
    <row r="97">
      <c r="A97" s="8" t="n"/>
      <c r="B97" s="8" t="n"/>
      <c r="C97" s="4" t="n"/>
      <c r="D97" s="8" t="n"/>
      <c r="E97" s="8" t="n"/>
      <c r="F97" s="4" t="n"/>
      <c r="G97" s="9">
        <f>IF(AND(A97&lt;&gt;"",E97="Tentative"),F97+Settings!$B$5,"")</f>
        <v/>
      </c>
      <c r="H97" s="10" t="n"/>
      <c r="I97" s="10" t="n"/>
      <c r="J97" s="11">
        <f>IF(OR(A97="",H97=""),"",IF(H97=0,"",I97/H97))</f>
        <v/>
      </c>
      <c r="K97" s="12">
        <f>IF(OR(A97="",E97="Cancelled"),"",H97-I97)</f>
        <v/>
      </c>
      <c r="L97" s="13">
        <f>IF(OR(A97="",C97=""),"",C97-Settings!$B$4)</f>
        <v/>
      </c>
      <c r="M97" s="14">
        <f>IF(A97="","",IF(E97="Tentative",IF(G97&lt;Settings!$B$4,"Release hold or chase",IF(G97=Settings!$B$4,"Hold expires today","Hold running")),IF(E97="Cancelled","Closed",IF(J97&lt;Settings!$B$6,IF(E97="Completed","Check advance","Advance below minimum"),IF(AND(K97&gt;0,L97&lt;0),"Overdue balance",IF(AND(K97&gt;0,L97&lt;=15),"Balance due within 15 days","OK"))))))</f>
        <v/>
      </c>
      <c r="N97" s="13">
        <f>IF(C97="","",YEAR(C97)*100+MONTH(C97))</f>
        <v/>
      </c>
      <c r="O97" s="13">
        <f>IF(A97="",0,IF(OR(E97="Confirmed",E97="Completed"),IF(D97="Full day",Settings!$B$7,1),0))</f>
        <v/>
      </c>
      <c r="P97" s="12">
        <f>IF(O97&gt;0,H97,0)</f>
        <v/>
      </c>
      <c r="Q97" s="12">
        <f>IF(OR(E97="Confirmed",E97="Completed"),N(K97),0)</f>
        <v/>
      </c>
    </row>
    <row r="98">
      <c r="A98" s="8" t="n"/>
      <c r="B98" s="8" t="n"/>
      <c r="C98" s="4" t="n"/>
      <c r="D98" s="8" t="n"/>
      <c r="E98" s="8" t="n"/>
      <c r="F98" s="4" t="n"/>
      <c r="G98" s="9">
        <f>IF(AND(A98&lt;&gt;"",E98="Tentative"),F98+Settings!$B$5,"")</f>
        <v/>
      </c>
      <c r="H98" s="10" t="n"/>
      <c r="I98" s="10" t="n"/>
      <c r="J98" s="11">
        <f>IF(OR(A98="",H98=""),"",IF(H98=0,"",I98/H98))</f>
        <v/>
      </c>
      <c r="K98" s="12">
        <f>IF(OR(A98="",E98="Cancelled"),"",H98-I98)</f>
        <v/>
      </c>
      <c r="L98" s="13">
        <f>IF(OR(A98="",C98=""),"",C98-Settings!$B$4)</f>
        <v/>
      </c>
      <c r="M98" s="14">
        <f>IF(A98="","",IF(E98="Tentative",IF(G98&lt;Settings!$B$4,"Release hold or chase",IF(G98=Settings!$B$4,"Hold expires today","Hold running")),IF(E98="Cancelled","Closed",IF(J98&lt;Settings!$B$6,IF(E98="Completed","Check advance","Advance below minimum"),IF(AND(K98&gt;0,L98&lt;0),"Overdue balance",IF(AND(K98&gt;0,L98&lt;=15),"Balance due within 15 days","OK"))))))</f>
        <v/>
      </c>
      <c r="N98" s="13">
        <f>IF(C98="","",YEAR(C98)*100+MONTH(C98))</f>
        <v/>
      </c>
      <c r="O98" s="13">
        <f>IF(A98="",0,IF(OR(E98="Confirmed",E98="Completed"),IF(D98="Full day",Settings!$B$7,1),0))</f>
        <v/>
      </c>
      <c r="P98" s="12">
        <f>IF(O98&gt;0,H98,0)</f>
        <v/>
      </c>
      <c r="Q98" s="12">
        <f>IF(OR(E98="Confirmed",E98="Completed"),N(K98),0)</f>
        <v/>
      </c>
    </row>
    <row r="99">
      <c r="A99" s="8" t="n"/>
      <c r="B99" s="8" t="n"/>
      <c r="C99" s="4" t="n"/>
      <c r="D99" s="8" t="n"/>
      <c r="E99" s="8" t="n"/>
      <c r="F99" s="4" t="n"/>
      <c r="G99" s="9">
        <f>IF(AND(A99&lt;&gt;"",E99="Tentative"),F99+Settings!$B$5,"")</f>
        <v/>
      </c>
      <c r="H99" s="10" t="n"/>
      <c r="I99" s="10" t="n"/>
      <c r="J99" s="11">
        <f>IF(OR(A99="",H99=""),"",IF(H99=0,"",I99/H99))</f>
        <v/>
      </c>
      <c r="K99" s="12">
        <f>IF(OR(A99="",E99="Cancelled"),"",H99-I99)</f>
        <v/>
      </c>
      <c r="L99" s="13">
        <f>IF(OR(A99="",C99=""),"",C99-Settings!$B$4)</f>
        <v/>
      </c>
      <c r="M99" s="14">
        <f>IF(A99="","",IF(E99="Tentative",IF(G99&lt;Settings!$B$4,"Release hold or chase",IF(G99=Settings!$B$4,"Hold expires today","Hold running")),IF(E99="Cancelled","Closed",IF(J99&lt;Settings!$B$6,IF(E99="Completed","Check advance","Advance below minimum"),IF(AND(K99&gt;0,L99&lt;0),"Overdue balance",IF(AND(K99&gt;0,L99&lt;=15),"Balance due within 15 days","OK"))))))</f>
        <v/>
      </c>
      <c r="N99" s="13">
        <f>IF(C99="","",YEAR(C99)*100+MONTH(C99))</f>
        <v/>
      </c>
      <c r="O99" s="13">
        <f>IF(A99="",0,IF(OR(E99="Confirmed",E99="Completed"),IF(D99="Full day",Settings!$B$7,1),0))</f>
        <v/>
      </c>
      <c r="P99" s="12">
        <f>IF(O99&gt;0,H99,0)</f>
        <v/>
      </c>
      <c r="Q99" s="12">
        <f>IF(OR(E99="Confirmed",E99="Completed"),N(K99),0)</f>
        <v/>
      </c>
    </row>
    <row r="100">
      <c r="A100" s="8" t="n"/>
      <c r="B100" s="8" t="n"/>
      <c r="C100" s="4" t="n"/>
      <c r="D100" s="8" t="n"/>
      <c r="E100" s="8" t="n"/>
      <c r="F100" s="4" t="n"/>
      <c r="G100" s="9">
        <f>IF(AND(A100&lt;&gt;"",E100="Tentative"),F100+Settings!$B$5,"")</f>
        <v/>
      </c>
      <c r="H100" s="10" t="n"/>
      <c r="I100" s="10" t="n"/>
      <c r="J100" s="11">
        <f>IF(OR(A100="",H100=""),"",IF(H100=0,"",I100/H100))</f>
        <v/>
      </c>
      <c r="K100" s="12">
        <f>IF(OR(A100="",E100="Cancelled"),"",H100-I100)</f>
        <v/>
      </c>
      <c r="L100" s="13">
        <f>IF(OR(A100="",C100=""),"",C100-Settings!$B$4)</f>
        <v/>
      </c>
      <c r="M100" s="14">
        <f>IF(A100="","",IF(E100="Tentative",IF(G100&lt;Settings!$B$4,"Release hold or chase",IF(G100=Settings!$B$4,"Hold expires today","Hold running")),IF(E100="Cancelled","Closed",IF(J100&lt;Settings!$B$6,IF(E100="Completed","Check advance","Advance below minimum"),IF(AND(K100&gt;0,L100&lt;0),"Overdue balance",IF(AND(K100&gt;0,L100&lt;=15),"Balance due within 15 days","OK"))))))</f>
        <v/>
      </c>
      <c r="N100" s="13">
        <f>IF(C100="","",YEAR(C100)*100+MONTH(C100))</f>
        <v/>
      </c>
      <c r="O100" s="13">
        <f>IF(A100="",0,IF(OR(E100="Confirmed",E100="Completed"),IF(D100="Full day",Settings!$B$7,1),0))</f>
        <v/>
      </c>
      <c r="P100" s="12">
        <f>IF(O100&gt;0,H100,0)</f>
        <v/>
      </c>
      <c r="Q100" s="12">
        <f>IF(OR(E100="Confirmed",E100="Completed"),N(K100),0)</f>
        <v/>
      </c>
    </row>
    <row r="101">
      <c r="A101" s="8" t="n"/>
      <c r="B101" s="8" t="n"/>
      <c r="C101" s="4" t="n"/>
      <c r="D101" s="8" t="n"/>
      <c r="E101" s="8" t="n"/>
      <c r="F101" s="4" t="n"/>
      <c r="G101" s="9">
        <f>IF(AND(A101&lt;&gt;"",E101="Tentative"),F101+Settings!$B$5,"")</f>
        <v/>
      </c>
      <c r="H101" s="10" t="n"/>
      <c r="I101" s="10" t="n"/>
      <c r="J101" s="11">
        <f>IF(OR(A101="",H101=""),"",IF(H101=0,"",I101/H101))</f>
        <v/>
      </c>
      <c r="K101" s="12">
        <f>IF(OR(A101="",E101="Cancelled"),"",H101-I101)</f>
        <v/>
      </c>
      <c r="L101" s="13">
        <f>IF(OR(A101="",C101=""),"",C101-Settings!$B$4)</f>
        <v/>
      </c>
      <c r="M101" s="14">
        <f>IF(A101="","",IF(E101="Tentative",IF(G101&lt;Settings!$B$4,"Release hold or chase",IF(G101=Settings!$B$4,"Hold expires today","Hold running")),IF(E101="Cancelled","Closed",IF(J101&lt;Settings!$B$6,IF(E101="Completed","Check advance","Advance below minimum"),IF(AND(K101&gt;0,L101&lt;0),"Overdue balance",IF(AND(K101&gt;0,L101&lt;=15),"Balance due within 15 days","OK"))))))</f>
        <v/>
      </c>
      <c r="N101" s="13">
        <f>IF(C101="","",YEAR(C101)*100+MONTH(C101))</f>
        <v/>
      </c>
      <c r="O101" s="13">
        <f>IF(A101="",0,IF(OR(E101="Confirmed",E101="Completed"),IF(D101="Full day",Settings!$B$7,1),0))</f>
        <v/>
      </c>
      <c r="P101" s="12">
        <f>IF(O101&gt;0,H101,0)</f>
        <v/>
      </c>
      <c r="Q101" s="12">
        <f>IF(OR(E101="Confirmed",E101="Completed"),N(K101),0)</f>
        <v/>
      </c>
    </row>
    <row r="102">
      <c r="A102" s="8" t="n"/>
      <c r="B102" s="8" t="n"/>
      <c r="C102" s="4" t="n"/>
      <c r="D102" s="8" t="n"/>
      <c r="E102" s="8" t="n"/>
      <c r="F102" s="4" t="n"/>
      <c r="G102" s="9">
        <f>IF(AND(A102&lt;&gt;"",E102="Tentative"),F102+Settings!$B$5,"")</f>
        <v/>
      </c>
      <c r="H102" s="10" t="n"/>
      <c r="I102" s="10" t="n"/>
      <c r="J102" s="11">
        <f>IF(OR(A102="",H102=""),"",IF(H102=0,"",I102/H102))</f>
        <v/>
      </c>
      <c r="K102" s="12">
        <f>IF(OR(A102="",E102="Cancelled"),"",H102-I102)</f>
        <v/>
      </c>
      <c r="L102" s="13">
        <f>IF(OR(A102="",C102=""),"",C102-Settings!$B$4)</f>
        <v/>
      </c>
      <c r="M102" s="14">
        <f>IF(A102="","",IF(E102="Tentative",IF(G102&lt;Settings!$B$4,"Release hold or chase",IF(G102=Settings!$B$4,"Hold expires today","Hold running")),IF(E102="Cancelled","Closed",IF(J102&lt;Settings!$B$6,IF(E102="Completed","Check advance","Advance below minimum"),IF(AND(K102&gt;0,L102&lt;0),"Overdue balance",IF(AND(K102&gt;0,L102&lt;=15),"Balance due within 15 days","OK"))))))</f>
        <v/>
      </c>
      <c r="N102" s="13">
        <f>IF(C102="","",YEAR(C102)*100+MONTH(C102))</f>
        <v/>
      </c>
      <c r="O102" s="13">
        <f>IF(A102="",0,IF(OR(E102="Confirmed",E102="Completed"),IF(D102="Full day",Settings!$B$7,1),0))</f>
        <v/>
      </c>
      <c r="P102" s="12">
        <f>IF(O102&gt;0,H102,0)</f>
        <v/>
      </c>
      <c r="Q102" s="12">
        <f>IF(OR(E102="Confirmed",E102="Completed"),N(K102),0)</f>
        <v/>
      </c>
    </row>
    <row r="103">
      <c r="A103" s="8" t="n"/>
      <c r="B103" s="8" t="n"/>
      <c r="C103" s="4" t="n"/>
      <c r="D103" s="8" t="n"/>
      <c r="E103" s="8" t="n"/>
      <c r="F103" s="4" t="n"/>
      <c r="G103" s="9">
        <f>IF(AND(A103&lt;&gt;"",E103="Tentative"),F103+Settings!$B$5,"")</f>
        <v/>
      </c>
      <c r="H103" s="10" t="n"/>
      <c r="I103" s="10" t="n"/>
      <c r="J103" s="11">
        <f>IF(OR(A103="",H103=""),"",IF(H103=0,"",I103/H103))</f>
        <v/>
      </c>
      <c r="K103" s="12">
        <f>IF(OR(A103="",E103="Cancelled"),"",H103-I103)</f>
        <v/>
      </c>
      <c r="L103" s="13">
        <f>IF(OR(A103="",C103=""),"",C103-Settings!$B$4)</f>
        <v/>
      </c>
      <c r="M103" s="14">
        <f>IF(A103="","",IF(E103="Tentative",IF(G103&lt;Settings!$B$4,"Release hold or chase",IF(G103=Settings!$B$4,"Hold expires today","Hold running")),IF(E103="Cancelled","Closed",IF(J103&lt;Settings!$B$6,IF(E103="Completed","Check advance","Advance below minimum"),IF(AND(K103&gt;0,L103&lt;0),"Overdue balance",IF(AND(K103&gt;0,L103&lt;=15),"Balance due within 15 days","OK"))))))</f>
        <v/>
      </c>
      <c r="N103" s="13">
        <f>IF(C103="","",YEAR(C103)*100+MONTH(C103))</f>
        <v/>
      </c>
      <c r="O103" s="13">
        <f>IF(A103="",0,IF(OR(E103="Confirmed",E103="Completed"),IF(D103="Full day",Settings!$B$7,1),0))</f>
        <v/>
      </c>
      <c r="P103" s="12">
        <f>IF(O103&gt;0,H103,0)</f>
        <v/>
      </c>
      <c r="Q103" s="12">
        <f>IF(OR(E103="Confirmed",E103="Completed"),N(K103),0)</f>
        <v/>
      </c>
    </row>
    <row r="104">
      <c r="A104" s="8" t="n"/>
      <c r="B104" s="8" t="n"/>
      <c r="C104" s="4" t="n"/>
      <c r="D104" s="8" t="n"/>
      <c r="E104" s="8" t="n"/>
      <c r="F104" s="4" t="n"/>
      <c r="G104" s="9">
        <f>IF(AND(A104&lt;&gt;"",E104="Tentative"),F104+Settings!$B$5,"")</f>
        <v/>
      </c>
      <c r="H104" s="10" t="n"/>
      <c r="I104" s="10" t="n"/>
      <c r="J104" s="11">
        <f>IF(OR(A104="",H104=""),"",IF(H104=0,"",I104/H104))</f>
        <v/>
      </c>
      <c r="K104" s="12">
        <f>IF(OR(A104="",E104="Cancelled"),"",H104-I104)</f>
        <v/>
      </c>
      <c r="L104" s="13">
        <f>IF(OR(A104="",C104=""),"",C104-Settings!$B$4)</f>
        <v/>
      </c>
      <c r="M104" s="14">
        <f>IF(A104="","",IF(E104="Tentative",IF(G104&lt;Settings!$B$4,"Release hold or chase",IF(G104=Settings!$B$4,"Hold expires today","Hold running")),IF(E104="Cancelled","Closed",IF(J104&lt;Settings!$B$6,IF(E104="Completed","Check advance","Advance below minimum"),IF(AND(K104&gt;0,L104&lt;0),"Overdue balance",IF(AND(K104&gt;0,L104&lt;=15),"Balance due within 15 days","OK"))))))</f>
        <v/>
      </c>
      <c r="N104" s="13">
        <f>IF(C104="","",YEAR(C104)*100+MONTH(C104))</f>
        <v/>
      </c>
      <c r="O104" s="13">
        <f>IF(A104="",0,IF(OR(E104="Confirmed",E104="Completed"),IF(D104="Full day",Settings!$B$7,1),0))</f>
        <v/>
      </c>
      <c r="P104" s="12">
        <f>IF(O104&gt;0,H104,0)</f>
        <v/>
      </c>
      <c r="Q104" s="12">
        <f>IF(OR(E104="Confirmed",E104="Completed"),N(K104),0)</f>
        <v/>
      </c>
    </row>
    <row r="105">
      <c r="A105" s="8" t="n"/>
      <c r="B105" s="8" t="n"/>
      <c r="C105" s="4" t="n"/>
      <c r="D105" s="8" t="n"/>
      <c r="E105" s="8" t="n"/>
      <c r="F105" s="4" t="n"/>
      <c r="G105" s="9">
        <f>IF(AND(A105&lt;&gt;"",E105="Tentative"),F105+Settings!$B$5,"")</f>
        <v/>
      </c>
      <c r="H105" s="10" t="n"/>
      <c r="I105" s="10" t="n"/>
      <c r="J105" s="11">
        <f>IF(OR(A105="",H105=""),"",IF(H105=0,"",I105/H105))</f>
        <v/>
      </c>
      <c r="K105" s="12">
        <f>IF(OR(A105="",E105="Cancelled"),"",H105-I105)</f>
        <v/>
      </c>
      <c r="L105" s="13">
        <f>IF(OR(A105="",C105=""),"",C105-Settings!$B$4)</f>
        <v/>
      </c>
      <c r="M105" s="14">
        <f>IF(A105="","",IF(E105="Tentative",IF(G105&lt;Settings!$B$4,"Release hold or chase",IF(G105=Settings!$B$4,"Hold expires today","Hold running")),IF(E105="Cancelled","Closed",IF(J105&lt;Settings!$B$6,IF(E105="Completed","Check advance","Advance below minimum"),IF(AND(K105&gt;0,L105&lt;0),"Overdue balance",IF(AND(K105&gt;0,L105&lt;=15),"Balance due within 15 days","OK"))))))</f>
        <v/>
      </c>
      <c r="N105" s="13">
        <f>IF(C105="","",YEAR(C105)*100+MONTH(C105))</f>
        <v/>
      </c>
      <c r="O105" s="13">
        <f>IF(A105="",0,IF(OR(E105="Confirmed",E105="Completed"),IF(D105="Full day",Settings!$B$7,1),0))</f>
        <v/>
      </c>
      <c r="P105" s="12">
        <f>IF(O105&gt;0,H105,0)</f>
        <v/>
      </c>
      <c r="Q105" s="12">
        <f>IF(OR(E105="Confirmed",E105="Completed"),N(K105),0)</f>
        <v/>
      </c>
    </row>
  </sheetData>
  <mergeCells count="1">
    <mergeCell ref="A2:Q2"/>
  </mergeCells>
  <dataValidations count="3">
    <dataValidation sqref="D6:D105" showDropDown="0" showInputMessage="0" showErrorMessage="0" allowBlank="1" type="list">
      <formula1>"Morning,Evening,Full day"</formula1>
    </dataValidation>
    <dataValidation sqref="E6:E105" showDropDown="0" showInputMessage="0" showErrorMessage="0" allowBlank="1" type="list">
      <formula1>"Tentative,Confirmed,Completed,Cancelled"</formula1>
    </dataValidation>
    <dataValidation sqref="B6:B105" showDropDown="0" showInputMessage="0" showErrorMessage="0" allowBlank="1" type="list">
      <formula1>"Grand Hall,Garden Lawn,Mini Hall"</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6" customWidth="1" min="1" max="1"/>
    <col width="12" customWidth="1" min="2" max="2"/>
    <col width="12" customWidth="1" min="3" max="3"/>
    <col width="14" customWidth="1" min="4" max="4"/>
    <col width="12" customWidth="1" min="5" max="5"/>
    <col width="12" customWidth="1" min="6" max="6"/>
    <col width="18" customWidth="1" min="7" max="7"/>
    <col width="22" customWidth="1" min="8" max="8"/>
  </cols>
  <sheetData>
    <row r="1">
      <c r="A1" s="1" t="inlineStr">
        <is>
          <t>Utilisation by hall and month</t>
        </is>
      </c>
    </row>
    <row r="2" ht="48" customHeight="1">
      <c r="A2" s="3" t="inlineStr">
        <is>
          <t>Slots sold against slots available. Full day counts as two slots. Only Confirmed and Completed bookings count as sold.</t>
        </is>
      </c>
    </row>
    <row r="4" ht="34" customHeight="1">
      <c r="A4" s="7" t="inlineStr">
        <is>
          <t>Hall</t>
        </is>
      </c>
      <c r="B4" s="7" t="inlineStr">
        <is>
          <t>Month key</t>
        </is>
      </c>
      <c r="C4" s="7" t="inlineStr">
        <is>
          <t>Month</t>
        </is>
      </c>
      <c r="D4" s="7" t="inlineStr">
        <is>
          <t>Slots available</t>
        </is>
      </c>
      <c r="E4" s="7" t="inlineStr">
        <is>
          <t>Slots sold</t>
        </is>
      </c>
      <c r="F4" s="7" t="inlineStr">
        <is>
          <t>Utilisation</t>
        </is>
      </c>
      <c r="G4" s="7" t="inlineStr">
        <is>
          <t>Booked value (INR)</t>
        </is>
      </c>
      <c r="H4" s="7" t="inlineStr">
        <is>
          <t>Value per available slot (INR)</t>
        </is>
      </c>
    </row>
    <row r="5">
      <c r="A5" s="14">
        <f>Settings!$A$10</f>
        <v/>
      </c>
      <c r="B5" s="14">
        <f>Settings!$A$16</f>
        <v/>
      </c>
      <c r="C5" s="14">
        <f>Settings!$B$16</f>
        <v/>
      </c>
      <c r="D5" s="13">
        <f>Settings!$C$16*Settings!$B$7</f>
        <v/>
      </c>
      <c r="E5" s="13">
        <f>SUMIFS(Bookings!$O$6:$O$105,Bookings!$B$6:$B$105,A5,Bookings!$N$6:$N$105,B5)</f>
        <v/>
      </c>
      <c r="F5" s="11">
        <f>IF(D5=0,0,E5/D5)</f>
        <v/>
      </c>
      <c r="G5" s="12">
        <f>SUMIFS(Bookings!$P$6:$P$105,Bookings!$B$6:$B$105,A5,Bookings!$N$6:$N$105,B5)</f>
        <v/>
      </c>
      <c r="H5" s="12">
        <f>IF(D5=0,0,G5/D5)</f>
        <v/>
      </c>
    </row>
    <row r="6">
      <c r="A6" s="14">
        <f>Settings!$A$10</f>
        <v/>
      </c>
      <c r="B6" s="14">
        <f>Settings!$A$17</f>
        <v/>
      </c>
      <c r="C6" s="14">
        <f>Settings!$B$17</f>
        <v/>
      </c>
      <c r="D6" s="13">
        <f>Settings!$C$17*Settings!$B$7</f>
        <v/>
      </c>
      <c r="E6" s="13">
        <f>SUMIFS(Bookings!$O$6:$O$105,Bookings!$B$6:$B$105,A6,Bookings!$N$6:$N$105,B6)</f>
        <v/>
      </c>
      <c r="F6" s="11">
        <f>IF(D6=0,0,E6/D6)</f>
        <v/>
      </c>
      <c r="G6" s="12">
        <f>SUMIFS(Bookings!$P$6:$P$105,Bookings!$B$6:$B$105,A6,Bookings!$N$6:$N$105,B6)</f>
        <v/>
      </c>
      <c r="H6" s="12">
        <f>IF(D6=0,0,G6/D6)</f>
        <v/>
      </c>
    </row>
    <row r="7">
      <c r="A7" s="14">
        <f>Settings!$A$10</f>
        <v/>
      </c>
      <c r="B7" s="14">
        <f>Settings!$A$18</f>
        <v/>
      </c>
      <c r="C7" s="14">
        <f>Settings!$B$18</f>
        <v/>
      </c>
      <c r="D7" s="13">
        <f>Settings!$C$18*Settings!$B$7</f>
        <v/>
      </c>
      <c r="E7" s="13">
        <f>SUMIFS(Bookings!$O$6:$O$105,Bookings!$B$6:$B$105,A7,Bookings!$N$6:$N$105,B7)</f>
        <v/>
      </c>
      <c r="F7" s="11">
        <f>IF(D7=0,0,E7/D7)</f>
        <v/>
      </c>
      <c r="G7" s="12">
        <f>SUMIFS(Bookings!$P$6:$P$105,Bookings!$B$6:$B$105,A7,Bookings!$N$6:$N$105,B7)</f>
        <v/>
      </c>
      <c r="H7" s="12">
        <f>IF(D7=0,0,G7/D7)</f>
        <v/>
      </c>
    </row>
    <row r="8">
      <c r="A8" s="14">
        <f>Settings!$A$11</f>
        <v/>
      </c>
      <c r="B8" s="14">
        <f>Settings!$A$16</f>
        <v/>
      </c>
      <c r="C8" s="14">
        <f>Settings!$B$16</f>
        <v/>
      </c>
      <c r="D8" s="13">
        <f>Settings!$C$16*Settings!$B$7</f>
        <v/>
      </c>
      <c r="E8" s="13">
        <f>SUMIFS(Bookings!$O$6:$O$105,Bookings!$B$6:$B$105,A8,Bookings!$N$6:$N$105,B8)</f>
        <v/>
      </c>
      <c r="F8" s="11">
        <f>IF(D8=0,0,E8/D8)</f>
        <v/>
      </c>
      <c r="G8" s="12">
        <f>SUMIFS(Bookings!$P$6:$P$105,Bookings!$B$6:$B$105,A8,Bookings!$N$6:$N$105,B8)</f>
        <v/>
      </c>
      <c r="H8" s="12">
        <f>IF(D8=0,0,G8/D8)</f>
        <v/>
      </c>
    </row>
    <row r="9">
      <c r="A9" s="14">
        <f>Settings!$A$11</f>
        <v/>
      </c>
      <c r="B9" s="14">
        <f>Settings!$A$17</f>
        <v/>
      </c>
      <c r="C9" s="14">
        <f>Settings!$B$17</f>
        <v/>
      </c>
      <c r="D9" s="13">
        <f>Settings!$C$17*Settings!$B$7</f>
        <v/>
      </c>
      <c r="E9" s="13">
        <f>SUMIFS(Bookings!$O$6:$O$105,Bookings!$B$6:$B$105,A9,Bookings!$N$6:$N$105,B9)</f>
        <v/>
      </c>
      <c r="F9" s="11">
        <f>IF(D9=0,0,E9/D9)</f>
        <v/>
      </c>
      <c r="G9" s="12">
        <f>SUMIFS(Bookings!$P$6:$P$105,Bookings!$B$6:$B$105,A9,Bookings!$N$6:$N$105,B9)</f>
        <v/>
      </c>
      <c r="H9" s="12">
        <f>IF(D9=0,0,G9/D9)</f>
        <v/>
      </c>
    </row>
    <row r="10">
      <c r="A10" s="14">
        <f>Settings!$A$11</f>
        <v/>
      </c>
      <c r="B10" s="14">
        <f>Settings!$A$18</f>
        <v/>
      </c>
      <c r="C10" s="14">
        <f>Settings!$B$18</f>
        <v/>
      </c>
      <c r="D10" s="13">
        <f>Settings!$C$18*Settings!$B$7</f>
        <v/>
      </c>
      <c r="E10" s="13">
        <f>SUMIFS(Bookings!$O$6:$O$105,Bookings!$B$6:$B$105,A10,Bookings!$N$6:$N$105,B10)</f>
        <v/>
      </c>
      <c r="F10" s="11">
        <f>IF(D10=0,0,E10/D10)</f>
        <v/>
      </c>
      <c r="G10" s="12">
        <f>SUMIFS(Bookings!$P$6:$P$105,Bookings!$B$6:$B$105,A10,Bookings!$N$6:$N$105,B10)</f>
        <v/>
      </c>
      <c r="H10" s="12">
        <f>IF(D10=0,0,G10/D10)</f>
        <v/>
      </c>
    </row>
    <row r="11">
      <c r="A11" s="14">
        <f>Settings!$A$12</f>
        <v/>
      </c>
      <c r="B11" s="14">
        <f>Settings!$A$16</f>
        <v/>
      </c>
      <c r="C11" s="14">
        <f>Settings!$B$16</f>
        <v/>
      </c>
      <c r="D11" s="13">
        <f>Settings!$C$16*Settings!$B$7</f>
        <v/>
      </c>
      <c r="E11" s="13">
        <f>SUMIFS(Bookings!$O$6:$O$105,Bookings!$B$6:$B$105,A11,Bookings!$N$6:$N$105,B11)</f>
        <v/>
      </c>
      <c r="F11" s="11">
        <f>IF(D11=0,0,E11/D11)</f>
        <v/>
      </c>
      <c r="G11" s="12">
        <f>SUMIFS(Bookings!$P$6:$P$105,Bookings!$B$6:$B$105,A11,Bookings!$N$6:$N$105,B11)</f>
        <v/>
      </c>
      <c r="H11" s="12">
        <f>IF(D11=0,0,G11/D11)</f>
        <v/>
      </c>
    </row>
    <row r="12">
      <c r="A12" s="14">
        <f>Settings!$A$12</f>
        <v/>
      </c>
      <c r="B12" s="14">
        <f>Settings!$A$17</f>
        <v/>
      </c>
      <c r="C12" s="14">
        <f>Settings!$B$17</f>
        <v/>
      </c>
      <c r="D12" s="13">
        <f>Settings!$C$17*Settings!$B$7</f>
        <v/>
      </c>
      <c r="E12" s="13">
        <f>SUMIFS(Bookings!$O$6:$O$105,Bookings!$B$6:$B$105,A12,Bookings!$N$6:$N$105,B12)</f>
        <v/>
      </c>
      <c r="F12" s="11">
        <f>IF(D12=0,0,E12/D12)</f>
        <v/>
      </c>
      <c r="G12" s="12">
        <f>SUMIFS(Bookings!$P$6:$P$105,Bookings!$B$6:$B$105,A12,Bookings!$N$6:$N$105,B12)</f>
        <v/>
      </c>
      <c r="H12" s="12">
        <f>IF(D12=0,0,G12/D12)</f>
        <v/>
      </c>
    </row>
    <row r="13">
      <c r="A13" s="14">
        <f>Settings!$A$12</f>
        <v/>
      </c>
      <c r="B13" s="14">
        <f>Settings!$A$18</f>
        <v/>
      </c>
      <c r="C13" s="14">
        <f>Settings!$B$18</f>
        <v/>
      </c>
      <c r="D13" s="13">
        <f>Settings!$C$18*Settings!$B$7</f>
        <v/>
      </c>
      <c r="E13" s="13">
        <f>SUMIFS(Bookings!$O$6:$O$105,Bookings!$B$6:$B$105,A13,Bookings!$N$6:$N$105,B13)</f>
        <v/>
      </c>
      <c r="F13" s="11">
        <f>IF(D13=0,0,E13/D13)</f>
        <v/>
      </c>
      <c r="G13" s="12">
        <f>SUMIFS(Bookings!$P$6:$P$105,Bookings!$B$6:$B$105,A13,Bookings!$N$6:$N$105,B13)</f>
        <v/>
      </c>
      <c r="H13" s="12">
        <f>IF(D13=0,0,G13/D13)</f>
        <v/>
      </c>
    </row>
    <row r="14">
      <c r="A14" s="15" t="inlineStr">
        <is>
          <t>All halls</t>
        </is>
      </c>
      <c r="D14" s="16">
        <f>SUM(D5:D13)</f>
        <v/>
      </c>
      <c r="E14" s="16">
        <f>SUM(E5:E13)</f>
        <v/>
      </c>
      <c r="F14" s="17">
        <f>IF(D14=0,0,E14/D14)</f>
        <v/>
      </c>
      <c r="G14" s="18">
        <f>SUM(G5:G13)</f>
        <v/>
      </c>
      <c r="H14" s="18">
        <f>IF(D14=0,0,G14/D14)</f>
        <v/>
      </c>
    </row>
    <row r="16" ht="34" customHeight="1">
      <c r="A16" s="19" t="inlineStr">
        <is>
          <t>Read it like this: a hall that is 80% full in a peak month may still be earning less per slot than a smaller hall at 55%. Look at value per available slot, not only the fill rate.</t>
        </is>
      </c>
    </row>
  </sheetData>
  <mergeCells count="2">
    <mergeCell ref="A16:H16"/>
    <mergeCell ref="A2:H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24" customWidth="1" min="2" max="2"/>
    <col width="20" customWidth="1" min="3" max="3"/>
    <col width="16" customWidth="1" min="4" max="4"/>
  </cols>
  <sheetData>
    <row r="1">
      <c r="A1" s="1" t="inlineStr">
        <is>
          <t>Balance due by how close the event is</t>
        </is>
      </c>
    </row>
    <row r="2" ht="48" customHeight="1">
      <c r="A2" s="3" t="inlineStr">
        <is>
          <t>Counts Confirmed and Completed bookings only.</t>
        </is>
      </c>
    </row>
    <row r="4" ht="34" customHeight="1">
      <c r="A4" s="7" t="inlineStr">
        <is>
          <t>Bucket</t>
        </is>
      </c>
      <c r="B4" s="7" t="inlineStr">
        <is>
          <t>Bookings with a balance</t>
        </is>
      </c>
      <c r="C4" s="7" t="inlineStr">
        <is>
          <t>Balance due (INR)</t>
        </is>
      </c>
      <c r="D4" s="7" t="inlineStr">
        <is>
          <t>Share of total</t>
        </is>
      </c>
    </row>
    <row r="5">
      <c r="A5" t="inlineStr">
        <is>
          <t>Overdue (event already held)</t>
        </is>
      </c>
      <c r="B5" s="13">
        <f>COUNTIFS(Bookings!$L$6:$L$105,"&lt;0",Bookings!$Q$6:$Q$105,"&gt;0")</f>
        <v/>
      </c>
      <c r="C5" s="12">
        <f>SUMIFS(Bookings!$Q$6:$Q$105,Bookings!$L$6:$L$105,"&lt;0")</f>
        <v/>
      </c>
      <c r="D5" s="11">
        <f>IF($C$9=0,0,C5/$C$9)</f>
        <v/>
      </c>
    </row>
    <row r="6">
      <c r="A6" t="inlineStr">
        <is>
          <t>Due within 15 days</t>
        </is>
      </c>
      <c r="B6" s="13">
        <f>COUNTIFS(Bookings!$L$6:$L$105,"&gt;=0",Bookings!$L$6:$L$105,"&lt;=15",Bookings!$Q$6:$Q$105,"&gt;0")</f>
        <v/>
      </c>
      <c r="C6" s="12">
        <f>SUMIFS(Bookings!$Q$6:$Q$105,Bookings!$L$6:$L$105,"&gt;=0",Bookings!$L$6:$L$105,"&lt;=15")</f>
        <v/>
      </c>
      <c r="D6" s="11">
        <f>IF($C$9=0,0,C6/$C$9)</f>
        <v/>
      </c>
    </row>
    <row r="7">
      <c r="A7" t="inlineStr">
        <is>
          <t>16 to 45 days out</t>
        </is>
      </c>
      <c r="B7" s="13">
        <f>COUNTIFS(Bookings!$L$6:$L$105,"&gt;=16",Bookings!$L$6:$L$105,"&lt;=45",Bookings!$Q$6:$Q$105,"&gt;0")</f>
        <v/>
      </c>
      <c r="C7" s="12">
        <f>SUMIFS(Bookings!$Q$6:$Q$105,Bookings!$L$6:$L$105,"&gt;=16",Bookings!$L$6:$L$105,"&lt;=45")</f>
        <v/>
      </c>
      <c r="D7" s="11">
        <f>IF($C$9=0,0,C7/$C$9)</f>
        <v/>
      </c>
    </row>
    <row r="8">
      <c r="A8" t="inlineStr">
        <is>
          <t>More than 45 days out</t>
        </is>
      </c>
      <c r="B8" s="13">
        <f>COUNTIFS(Bookings!$L$6:$L$105,"&gt;=46",Bookings!$Q$6:$Q$105,"&gt;0")</f>
        <v/>
      </c>
      <c r="C8" s="12">
        <f>SUMIFS(Bookings!$Q$6:$Q$105,Bookings!$L$6:$L$105,"&gt;=46")</f>
        <v/>
      </c>
      <c r="D8" s="11">
        <f>IF($C$9=0,0,C8/$C$9)</f>
        <v/>
      </c>
    </row>
    <row r="9">
      <c r="A9" t="inlineStr">
        <is>
          <t>Total</t>
        </is>
      </c>
      <c r="B9" s="16">
        <f>SUM(B5:B8)</f>
        <v/>
      </c>
      <c r="C9" s="18">
        <f>SUM(C5:C8)</f>
        <v/>
      </c>
      <c r="D9" s="17">
        <f>SUM(D5:D8)</f>
        <v/>
      </c>
    </row>
  </sheetData>
  <mergeCells count="1">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44" customWidth="1" min="1" max="1"/>
    <col width="16" customWidth="1" min="2" max="2"/>
    <col width="4" customWidth="1" min="3" max="3"/>
    <col width="4" customWidth="1" min="4" max="4"/>
    <col width="26" customWidth="1" min="5" max="5"/>
    <col width="22" customWidth="1" min="6" max="6"/>
  </cols>
  <sheetData>
    <row r="1">
      <c r="A1" s="1" t="inlineStr">
        <is>
          <t>What to retain when a client cancels</t>
        </is>
      </c>
    </row>
    <row r="2" ht="48" customHeight="1">
      <c r="A2" s="3" t="inlineStr">
        <is>
          <t>Ladder values are an EXAMPLE. Set them to what the date could realistically still earn if you re-sell it.</t>
        </is>
      </c>
    </row>
    <row r="4" ht="34" customHeight="1">
      <c r="A4" t="inlineStr">
        <is>
          <t>Booking ID</t>
        </is>
      </c>
      <c r="B4" s="8" t="inlineStr">
        <is>
          <t>B-003</t>
        </is>
      </c>
      <c r="E4" s="7" t="inlineStr">
        <is>
          <t>Days before event (from)</t>
        </is>
      </c>
      <c r="F4" s="7" t="inlineStr">
        <is>
          <t>Retention % of total</t>
        </is>
      </c>
    </row>
    <row r="5">
      <c r="A5" t="inlineStr">
        <is>
          <t>Cancellation date</t>
        </is>
      </c>
      <c r="B5" s="4" t="n">
        <v>46315</v>
      </c>
      <c r="E5" s="5" t="n">
        <v>0</v>
      </c>
      <c r="F5" s="6" t="n">
        <v>1</v>
      </c>
    </row>
    <row r="6">
      <c r="A6" t="inlineStr">
        <is>
          <t>Booking status</t>
        </is>
      </c>
      <c r="B6" s="14">
        <f>INDEX(Bookings!$E$6:$E$105,MATCH(B4,Bookings!$A$6:$A$105,0))</f>
        <v/>
      </c>
      <c r="E6" s="5" t="n">
        <v>15</v>
      </c>
      <c r="F6" s="6" t="n">
        <v>0.75</v>
      </c>
    </row>
    <row r="7">
      <c r="A7" t="inlineStr">
        <is>
          <t>Event date</t>
        </is>
      </c>
      <c r="B7" s="9">
        <f>INDEX(Bookings!$C$6:$C$105,MATCH(B4,Bookings!$A$6:$A$105,0))</f>
        <v/>
      </c>
      <c r="E7" s="5" t="n">
        <v>30</v>
      </c>
      <c r="F7" s="6" t="n">
        <v>0.5</v>
      </c>
    </row>
    <row r="8">
      <c r="A8" t="inlineStr">
        <is>
          <t>Total value (INR)</t>
        </is>
      </c>
      <c r="B8" s="12">
        <f>INDEX(Bookings!$H$6:$H$105,MATCH(B4,Bookings!$A$6:$A$105,0))</f>
        <v/>
      </c>
      <c r="E8" s="5" t="n">
        <v>60</v>
      </c>
      <c r="F8" s="6" t="n">
        <v>0.25</v>
      </c>
    </row>
    <row r="9">
      <c r="A9" t="inlineStr">
        <is>
          <t>Advance received (INR)</t>
        </is>
      </c>
      <c r="B9" s="12">
        <f>INDEX(Bookings!$I$6:$I$105,MATCH(B4,Bookings!$A$6:$A$105,0))</f>
        <v/>
      </c>
      <c r="E9" s="5" t="n">
        <v>90</v>
      </c>
      <c r="F9" s="6" t="n">
        <v>0.1</v>
      </c>
    </row>
    <row r="10">
      <c r="A10" t="inlineStr">
        <is>
          <t>Days between cancellation and event</t>
        </is>
      </c>
      <c r="B10" s="13">
        <f>B7-B5</f>
        <v/>
      </c>
    </row>
    <row r="11">
      <c r="A11" t="inlineStr">
        <is>
          <t>Retention % from ladder</t>
        </is>
      </c>
      <c r="B11" s="20">
        <f>IF(B10&lt;0,1,LOOKUP(B10,$E$5:$E$9,$F$5:$F$9))</f>
        <v/>
      </c>
    </row>
    <row r="12">
      <c r="A12" t="inlineStr">
        <is>
          <t>Amount you may claim (INR)</t>
        </is>
      </c>
      <c r="B12" s="12">
        <f>IF(B6="Tentative",0,B8*B11)</f>
        <v/>
      </c>
    </row>
    <row r="13">
      <c r="A13" t="inlineStr">
        <is>
          <t>Amount actually retained from advance (INR)</t>
        </is>
      </c>
      <c r="B13" s="18">
        <f>MIN(B9,B12)</f>
        <v/>
      </c>
    </row>
    <row r="14">
      <c r="A14" t="inlineStr">
        <is>
          <t>Refund to client (INR)</t>
        </is>
      </c>
      <c r="B14" s="18">
        <f>B9-B13</f>
        <v/>
      </c>
    </row>
    <row r="15">
      <c r="A15" t="inlineStr">
        <is>
          <t>Further amount client still owes (INR)</t>
        </is>
      </c>
      <c r="B15" s="12">
        <f>MAX(0,B12-B9)</f>
        <v/>
      </c>
    </row>
    <row r="16">
      <c r="A16" s="21" t="inlineStr">
        <is>
          <t>A tentative hold with no advance normally creates no claim, so the ladder applies to Confirmed bookings only.</t>
        </is>
      </c>
    </row>
    <row r="17" ht="34" customHeight="1">
      <c r="A17" s="19" t="inlineStr">
        <is>
          <t>GST on any amount retained after a cancellation is a question for your CA. Tax treatment of cancellation charges is not settled in one rule you can copy from a workbook.</t>
        </is>
      </c>
    </row>
  </sheetData>
  <mergeCells count="2">
    <mergeCell ref="A2:E2"/>
    <mergeCell ref="A17:F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2026-09-24T20:12:23Z</dcterms:created>
  <dcterms:modified xmlns:dcterms="http://purl.org/dc/terms/" xmlns:xsi="http://www.w3.org/2001/XMLSchema-instance" xsi:type="dcterms:W3CDTF">2026-09-24T20:12:23Z</dcterms:modified>
</cp:coreProperties>
</file>