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Enquiry Log" sheetId="2" state="visible" r:id="rId2"/>
    <sheet xmlns:r="http://schemas.openxmlformats.org/officeDocument/2006/relationships" name="Grocery Sizer" sheetId="3" state="visible" r:id="rId3"/>
    <sheet xmlns:r="http://schemas.openxmlformats.org/officeDocument/2006/relationships" name="Quote &amp; Payments" sheetId="4" state="visible" r:id="rId4"/>
    <sheet xmlns:r="http://schemas.openxmlformats.org/officeDocument/2006/relationships" name="Dispatch Checklist" sheetId="5" state="visible" r:id="rId5"/>
  </sheets>
  <definedNames/>
  <calcPr calcId="124519" fullCalcOnLoad="1"/>
</workbook>
</file>

<file path=xl/styles.xml><?xml version="1.0" encoding="utf-8"?>
<styleSheet xmlns="http://schemas.openxmlformats.org/spreadsheetml/2006/main">
  <numFmts count="6">
    <numFmt numFmtId="164" formatCode="yyyy-mm-dd"/>
    <numFmt numFmtId="165" formatCode="dd-mmm-yyyy"/>
    <numFmt numFmtId="166" formatCode="dd-mmm-yy"/>
    <numFmt numFmtId="167" formatCode="0&quot;%&quot;"/>
    <numFmt numFmtId="168" formatCode="0.0"/>
    <numFmt numFmtId="169" formatCode="#,##0.0"/>
  </numFmts>
  <fonts count="7">
    <font>
      <name val="Calibri"/>
      <family val="2"/>
      <color theme="1"/>
      <sz val="11"/>
      <scheme val="minor"/>
    </font>
    <font>
      <b val="1"/>
      <color rgb="001A2B6D"/>
      <sz val="15"/>
    </font>
    <font>
      <i val="1"/>
      <color rgb="00555555"/>
    </font>
    <font>
      <b val="1"/>
      <color rgb="00FFFFFF"/>
    </font>
    <font>
      <b val="1"/>
    </font>
    <font/>
    <font>
      <color rgb="00666666"/>
      <sz val="9"/>
    </font>
  </fonts>
  <fills count="5">
    <fill>
      <patternFill/>
    </fill>
    <fill>
      <patternFill patternType="gray125"/>
    </fill>
    <fill>
      <patternFill patternType="solid">
        <fgColor rgb="00FFF2CC"/>
        <bgColor rgb="00FFF2CC"/>
      </patternFill>
    </fill>
    <fill>
      <patternFill patternType="solid">
        <fgColor rgb="001A2B6D"/>
        <bgColor rgb="001A2B6D"/>
      </patternFill>
    </fill>
    <fill>
      <patternFill patternType="solid">
        <fgColor rgb="00F2F2F2"/>
        <b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165" fontId="0" fillId="2" borderId="1" pivotButton="0" quotePrefix="0" xfId="0"/>
    <xf numFmtId="0" fontId="3" fillId="3" borderId="1" applyAlignment="1" pivotButton="0" quotePrefix="0" xfId="0">
      <alignment vertical="center" wrapText="1"/>
    </xf>
    <xf numFmtId="166" fontId="0" fillId="2" borderId="1" pivotButton="0" quotePrefix="0" xfId="0"/>
    <xf numFmtId="0" fontId="0" fillId="2" borderId="1" pivotButton="0" quotePrefix="0" xfId="0"/>
    <xf numFmtId="3" fontId="0" fillId="2" borderId="1" pivotButton="0" quotePrefix="0" xfId="0"/>
    <xf numFmtId="3" fontId="0" fillId="4" borderId="1" pivotButton="0" quotePrefix="0" xfId="0"/>
    <xf numFmtId="0" fontId="0" fillId="4" borderId="1" pivotButton="0" quotePrefix="0" xfId="0"/>
    <xf numFmtId="1" fontId="0" fillId="4" borderId="1" pivotButton="0" quotePrefix="0" xfId="0"/>
    <xf numFmtId="167" fontId="0" fillId="4" borderId="1" pivotButton="0" quotePrefix="0" xfId="0"/>
    <xf numFmtId="168" fontId="0" fillId="2" borderId="1" pivotButton="0" quotePrefix="0" xfId="0"/>
    <xf numFmtId="169" fontId="0" fillId="4" borderId="1" pivotButton="0" quotePrefix="0" xfId="0"/>
    <xf numFmtId="0" fontId="4" fillId="0" borderId="0" pivotButton="0" quotePrefix="0" xfId="0"/>
    <xf numFmtId="3" fontId="4" fillId="4" borderId="1" pivotButton="0" quotePrefix="0" xfId="0"/>
    <xf numFmtId="168" fontId="0" fillId="4" borderId="1" pivotButton="0" quotePrefix="0" xfId="0"/>
    <xf numFmtId="1" fontId="0" fillId="2" borderId="1" pivotButton="0" quotePrefix="0" xfId="0"/>
    <xf numFmtId="0" fontId="5" fillId="0" borderId="0" pivotButton="0" quotePrefix="0" xfId="0"/>
    <xf numFmtId="4" fontId="4" fillId="4" borderId="1" pivotButton="0" quotePrefix="0" xfId="0"/>
    <xf numFmtId="165" fontId="0" fillId="4" borderId="1"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Catering order-to-dispatch workbook</t>
        </is>
      </c>
    </row>
    <row r="3">
      <c r="A3" s="2" t="inlineStr">
        <is>
          <t>One workbook for the path a catering order takes: Enquiry Log (who asked, what stage, who to call today), Grocery Sizer (guest count to kilograms and rupees), Quote &amp; Payments (per-plate quote, 5% GST and a 25-50-25 payment schedule) and Dispatch Checklist (what leaves the kitchen and what comes back).</t>
        </is>
      </c>
    </row>
    <row r="4">
      <c r="A4" s="2" t="inlineStr">
        <is>
          <t>Yellow cells are inputs. Grey cells are formulas. Guest counts, grammages, prices and dates are samples. Replace them with your own recipes and rates before you rely on any total.</t>
        </is>
      </c>
    </row>
    <row r="5">
      <c r="A5" s="2" t="inlineStr">
        <is>
          <t>Grammage norms are raw weight per guest for a mixed vegetarian buffet and are starting points only. Cooking expansion, the number of dishes and regional taste change them. Weigh your own last three events, then overwrite column C.</t>
        </is>
      </c>
    </row>
    <row r="6">
      <c r="A6" s="2" t="inlineStr">
        <is>
          <t>GST: catering supplied at ordinary premises is 5% (2.5% CGST + 2.5% SGST) with no input tax credit; at hotel-type specified premises it is 18% with ITC (Notification 11/2017-CT(R) as amended by 20/2019 and 08/2025, read September 2026). Advance payments toward a service are generally taxable when received, so issue a receipt voucher for each instalment and confirm the timing with your CA.</t>
        </is>
      </c>
    </row>
    <row r="7">
      <c r="A7" s="2" t="inlineStr">
        <is>
          <t>FSSAI: registration and licence turnover limits were raised from 1 April 2026 (basic registration up to Rs 1.5 crore, state licence up to Rs 50 crore, per Chambers and Partners and Mondaq summaries of the March 2026 amendment). Some sources say caterers need a state licence whatever their turnover, so check the category rules with FSSAI or your consultant.</t>
        </is>
      </c>
    </row>
    <row r="8">
      <c r="A8" s="2" t="inlineStr">
        <is>
          <t>Published by venura.org. A working aid, not tax or legal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0" customWidth="1" min="1" max="1"/>
    <col width="20" customWidth="1" min="2" max="2"/>
    <col width="20" customWidth="1" min="3" max="3"/>
    <col width="13" customWidth="1" min="4" max="4"/>
    <col width="9" customWidth="1" min="5" max="5"/>
    <col width="16" customWidth="1" min="6" max="6"/>
    <col width="12" customWidth="1" min="7" max="7"/>
    <col width="13" customWidth="1" min="8" max="8"/>
    <col width="14" customWidth="1" min="9" max="9"/>
    <col width="16" customWidth="1" min="10" max="10"/>
    <col width="11" customWidth="1" min="11" max="11"/>
    <col width="13" customWidth="1" min="12" max="12"/>
  </cols>
  <sheetData>
    <row r="1">
      <c r="A1" s="1" t="inlineStr">
        <is>
          <t>Enquiry log</t>
        </is>
      </c>
    </row>
    <row r="2">
      <c r="A2" s="3" t="inlineStr">
        <is>
          <t>Update the status and next follow-up after every call. The summary below counts only what you enter.</t>
        </is>
      </c>
    </row>
    <row r="3">
      <c r="A3" t="inlineStr">
        <is>
          <t>As-of date</t>
        </is>
      </c>
      <c r="B3" s="4" t="n">
        <v>46290</v>
      </c>
    </row>
    <row r="5">
      <c r="A5" s="5" t="inlineStr">
        <is>
          <t>Received</t>
        </is>
      </c>
      <c r="B5" s="5" t="inlineStr">
        <is>
          <t>Client</t>
        </is>
      </c>
      <c r="C5" s="5" t="inlineStr">
        <is>
          <t>Event type</t>
        </is>
      </c>
      <c r="D5" s="5" t="inlineStr">
        <is>
          <t>Event date</t>
        </is>
      </c>
      <c r="E5" s="5" t="inlineStr">
        <is>
          <t>Guests</t>
        </is>
      </c>
      <c r="F5" s="5" t="inlineStr">
        <is>
          <t>Minimum guaranteed guests</t>
        </is>
      </c>
      <c r="G5" s="5" t="inlineStr">
        <is>
          <t>Quoted Rs per plate</t>
        </is>
      </c>
      <c r="H5" s="5" t="inlineStr">
        <is>
          <t>Status</t>
        </is>
      </c>
      <c r="I5" s="5" t="inlineStr">
        <is>
          <t>Next follow-up</t>
        </is>
      </c>
      <c r="J5" s="5" t="inlineStr">
        <is>
          <t>Order value before GST (Rs)</t>
        </is>
      </c>
      <c r="K5" s="5" t="inlineStr">
        <is>
          <t>GST 5% (Rs)</t>
        </is>
      </c>
      <c r="L5" s="5" t="inlineStr">
        <is>
          <t>Follow-up due?</t>
        </is>
      </c>
    </row>
    <row r="6">
      <c r="A6" s="6" t="n">
        <v>46267</v>
      </c>
      <c r="B6" s="7" t="inlineStr">
        <is>
          <t>Mehta family</t>
        </is>
      </c>
      <c r="C6" s="7" t="inlineStr">
        <is>
          <t>Engagement dinner</t>
        </is>
      </c>
      <c r="D6" s="6" t="n">
        <v>46340</v>
      </c>
      <c r="E6" s="7" t="n">
        <v>350</v>
      </c>
      <c r="F6" s="7" t="n">
        <v>300</v>
      </c>
      <c r="G6" s="8" t="n">
        <v>1150</v>
      </c>
      <c r="H6" s="7" t="inlineStr">
        <is>
          <t>Confirmed</t>
        </is>
      </c>
      <c r="I6" s="6" t="n"/>
      <c r="J6" s="9">
        <f>IF(F6="","",F6*G6)</f>
        <v/>
      </c>
      <c r="K6" s="9">
        <f>IF(J6="","",ROUND(J6*0.05,0))</f>
        <v/>
      </c>
      <c r="L6" s="10">
        <f>IF(OR(H6="Confirmed",H6="Lost",I6=""),"",IF(I6&lt;=$B$3,"Call today",""))</f>
        <v/>
      </c>
    </row>
    <row r="7">
      <c r="A7" s="6" t="n">
        <v>46270</v>
      </c>
      <c r="B7" s="7" t="inlineStr">
        <is>
          <t>Shree Textiles</t>
        </is>
      </c>
      <c r="C7" s="7" t="inlineStr">
        <is>
          <t>Diwali staff lunch</t>
        </is>
      </c>
      <c r="D7" s="6" t="n">
        <v>46323</v>
      </c>
      <c r="E7" s="7" t="n">
        <v>220</v>
      </c>
      <c r="F7" s="7" t="n">
        <v>200</v>
      </c>
      <c r="G7" s="8" t="n">
        <v>620</v>
      </c>
      <c r="H7" s="7" t="inlineStr">
        <is>
          <t>Token paid</t>
        </is>
      </c>
      <c r="I7" s="6" t="n">
        <v>46305</v>
      </c>
      <c r="J7" s="9">
        <f>IF(F7="","",F7*G7)</f>
        <v/>
      </c>
      <c r="K7" s="9">
        <f>IF(J7="","",ROUND(J7*0.05,0))</f>
        <v/>
      </c>
      <c r="L7" s="10">
        <f>IF(OR(H7="Confirmed",H7="Lost",I7=""),"",IF(I7&lt;=$B$3,"Call today",""))</f>
        <v/>
      </c>
    </row>
    <row r="8">
      <c r="A8" s="6" t="n">
        <v>46273</v>
      </c>
      <c r="B8" s="7" t="inlineStr">
        <is>
          <t>Joshi wedding</t>
        </is>
      </c>
      <c r="C8" s="7" t="inlineStr">
        <is>
          <t>Wedding lunch</t>
        </is>
      </c>
      <c r="D8" s="6" t="n">
        <v>46362</v>
      </c>
      <c r="E8" s="7" t="n">
        <v>700</v>
      </c>
      <c r="F8" s="7" t="n">
        <v>600</v>
      </c>
      <c r="G8" s="8" t="n">
        <v>980</v>
      </c>
      <c r="H8" s="7" t="inlineStr">
        <is>
          <t>Tasting</t>
        </is>
      </c>
      <c r="I8" s="6" t="n">
        <v>46292</v>
      </c>
      <c r="J8" s="9">
        <f>IF(F8="","",F8*G8)</f>
        <v/>
      </c>
      <c r="K8" s="9">
        <f>IF(J8="","",ROUND(J8*0.05,0))</f>
        <v/>
      </c>
      <c r="L8" s="10">
        <f>IF(OR(H8="Confirmed",H8="Lost",I8=""),"",IF(I8&lt;=$B$3,"Call today",""))</f>
        <v/>
      </c>
    </row>
    <row r="9">
      <c r="A9" s="6" t="n">
        <v>46275</v>
      </c>
      <c r="B9" s="7" t="inlineStr">
        <is>
          <t>St Mary school</t>
        </is>
      </c>
      <c r="C9" s="7" t="inlineStr">
        <is>
          <t>Annual day snacks</t>
        </is>
      </c>
      <c r="D9" s="6" t="n">
        <v>46370</v>
      </c>
      <c r="E9" s="7" t="n">
        <v>450</v>
      </c>
      <c r="F9" s="7" t="n">
        <v>400</v>
      </c>
      <c r="G9" s="8" t="n">
        <v>310</v>
      </c>
      <c r="H9" s="7" t="inlineStr">
        <is>
          <t>Quote sent</t>
        </is>
      </c>
      <c r="I9" s="6" t="n">
        <v>46289</v>
      </c>
      <c r="J9" s="9">
        <f>IF(F9="","",F9*G9)</f>
        <v/>
      </c>
      <c r="K9" s="9">
        <f>IF(J9="","",ROUND(J9*0.05,0))</f>
        <v/>
      </c>
      <c r="L9" s="10">
        <f>IF(OR(H9="Confirmed",H9="Lost",I9=""),"",IF(I9&lt;=$B$3,"Call today",""))</f>
        <v/>
      </c>
    </row>
    <row r="10">
      <c r="A10" s="6" t="n">
        <v>46277</v>
      </c>
      <c r="B10" s="7" t="inlineStr">
        <is>
          <t>Kapoor birthday</t>
        </is>
      </c>
      <c r="C10" s="7" t="inlineStr">
        <is>
          <t>Birthday party</t>
        </is>
      </c>
      <c r="D10" s="6" t="n">
        <v>46298</v>
      </c>
      <c r="E10" s="7" t="n">
        <v>80</v>
      </c>
      <c r="F10" s="7" t="n">
        <v>80</v>
      </c>
      <c r="G10" s="8" t="n">
        <v>900</v>
      </c>
      <c r="H10" s="7" t="inlineStr">
        <is>
          <t>Lost</t>
        </is>
      </c>
      <c r="I10" s="6" t="n"/>
      <c r="J10" s="9">
        <f>IF(F10="","",F10*G10)</f>
        <v/>
      </c>
      <c r="K10" s="9">
        <f>IF(J10="","",ROUND(J10*0.05,0))</f>
        <v/>
      </c>
      <c r="L10" s="10">
        <f>IF(OR(H10="Confirmed",H10="Lost",I10=""),"",IF(I10&lt;=$B$3,"Call today",""))</f>
        <v/>
      </c>
    </row>
    <row r="11">
      <c r="A11" s="6" t="n">
        <v>46280</v>
      </c>
      <c r="B11" s="7" t="inlineStr">
        <is>
          <t>Rao housewarming</t>
        </is>
      </c>
      <c r="C11" s="7" t="inlineStr">
        <is>
          <t>Griha pravesh lunch</t>
        </is>
      </c>
      <c r="D11" s="6" t="n">
        <v>46313</v>
      </c>
      <c r="E11" s="7" t="n">
        <v>120</v>
      </c>
      <c r="F11" s="7" t="n">
        <v>100</v>
      </c>
      <c r="G11" s="8" t="n">
        <v>740</v>
      </c>
      <c r="H11" s="7" t="inlineStr">
        <is>
          <t>Quote sent</t>
        </is>
      </c>
      <c r="I11" s="6" t="n">
        <v>46291</v>
      </c>
      <c r="J11" s="9">
        <f>IF(F11="","",F11*G11)</f>
        <v/>
      </c>
      <c r="K11" s="9">
        <f>IF(J11="","",ROUND(J11*0.05,0))</f>
        <v/>
      </c>
      <c r="L11" s="10">
        <f>IF(OR(H11="Confirmed",H11="Lost",I11=""),"",IF(I11&lt;=$B$3,"Call today",""))</f>
        <v/>
      </c>
    </row>
    <row r="12">
      <c r="A12" s="6" t="n">
        <v>46283</v>
      </c>
      <c r="B12" s="7" t="inlineStr">
        <is>
          <t>NextWave IT</t>
        </is>
      </c>
      <c r="C12" s="7" t="inlineStr">
        <is>
          <t>Team offsite lunch</t>
        </is>
      </c>
      <c r="D12" s="6" t="n">
        <v>46346</v>
      </c>
      <c r="E12" s="7" t="n">
        <v>160</v>
      </c>
      <c r="F12" s="7" t="n">
        <v>150</v>
      </c>
      <c r="G12" s="8" t="n">
        <v>560</v>
      </c>
      <c r="H12" s="7" t="inlineStr">
        <is>
          <t>New</t>
        </is>
      </c>
      <c r="I12" s="6" t="n">
        <v>46290</v>
      </c>
      <c r="J12" s="9">
        <f>IF(F12="","",F12*G12)</f>
        <v/>
      </c>
      <c r="K12" s="9">
        <f>IF(J12="","",ROUND(J12*0.05,0))</f>
        <v/>
      </c>
      <c r="L12" s="10">
        <f>IF(OR(H12="Confirmed",H12="Lost",I12=""),"",IF(I12&lt;=$B$3,"Call today",""))</f>
        <v/>
      </c>
    </row>
    <row r="13">
      <c r="A13" s="6" t="n">
        <v>46285</v>
      </c>
      <c r="B13" s="7" t="inlineStr">
        <is>
          <t>Deshpande sangeet</t>
        </is>
      </c>
      <c r="C13" s="7" t="inlineStr">
        <is>
          <t>Sangeet dinner</t>
        </is>
      </c>
      <c r="D13" s="6" t="n">
        <v>46354</v>
      </c>
      <c r="E13" s="7" t="n">
        <v>500</v>
      </c>
      <c r="F13" s="7" t="n">
        <v>450</v>
      </c>
      <c r="G13" s="8" t="n">
        <v>1250</v>
      </c>
      <c r="H13" s="7" t="inlineStr">
        <is>
          <t>Tasting</t>
        </is>
      </c>
      <c r="I13" s="6" t="n">
        <v>46295</v>
      </c>
      <c r="J13" s="9">
        <f>IF(F13="","",F13*G13)</f>
        <v/>
      </c>
      <c r="K13" s="9">
        <f>IF(J13="","",ROUND(J13*0.05,0))</f>
        <v/>
      </c>
      <c r="L13" s="10">
        <f>IF(OR(H13="Confirmed",H13="Lost",I13=""),"",IF(I13&lt;=$B$3,"Call today",""))</f>
        <v/>
      </c>
    </row>
    <row r="14">
      <c r="A14" s="6" t="n">
        <v>46287</v>
      </c>
      <c r="B14" s="7" t="inlineStr">
        <is>
          <t>Patel anniversary</t>
        </is>
      </c>
      <c r="C14" s="7" t="inlineStr">
        <is>
          <t>Anniversary dinner</t>
        </is>
      </c>
      <c r="D14" s="6" t="n">
        <v>46334</v>
      </c>
      <c r="E14" s="7" t="n">
        <v>140</v>
      </c>
      <c r="F14" s="7" t="n">
        <v>120</v>
      </c>
      <c r="G14" s="8" t="n">
        <v>1050</v>
      </c>
      <c r="H14" s="7" t="inlineStr">
        <is>
          <t>Quote sent</t>
        </is>
      </c>
      <c r="I14" s="6" t="n">
        <v>46288</v>
      </c>
      <c r="J14" s="9">
        <f>IF(F14="","",F14*G14)</f>
        <v/>
      </c>
      <c r="K14" s="9">
        <f>IF(J14="","",ROUND(J14*0.05,0))</f>
        <v/>
      </c>
      <c r="L14" s="10">
        <f>IF(OR(H14="Confirmed",H14="Lost",I14=""),"",IF(I14&lt;=$B$3,"Call today",""))</f>
        <v/>
      </c>
    </row>
    <row r="15">
      <c r="A15" s="6" t="n">
        <v>46288</v>
      </c>
      <c r="B15" s="7" t="inlineStr">
        <is>
          <t>Trust trustees</t>
        </is>
      </c>
      <c r="C15" s="7" t="inlineStr">
        <is>
          <t>Charity bhoj</t>
        </is>
      </c>
      <c r="D15" s="6" t="n">
        <v>46320</v>
      </c>
      <c r="E15" s="7" t="n">
        <v>600</v>
      </c>
      <c r="F15" s="7" t="n">
        <v>600</v>
      </c>
      <c r="G15" s="8" t="n">
        <v>260</v>
      </c>
      <c r="H15" s="7" t="inlineStr">
        <is>
          <t>Confirmed</t>
        </is>
      </c>
      <c r="I15" s="6" t="n"/>
      <c r="J15" s="9">
        <f>IF(F15="","",F15*G15)</f>
        <v/>
      </c>
      <c r="K15" s="9">
        <f>IF(J15="","",ROUND(J15*0.05,0))</f>
        <v/>
      </c>
      <c r="L15" s="10">
        <f>IF(OR(H15="Confirmed",H15="Lost",I15=""),"",IF(I15&lt;=$B$3,"Call today",""))</f>
        <v/>
      </c>
    </row>
    <row r="16">
      <c r="A16" s="7" t="n"/>
      <c r="B16" s="7" t="n"/>
      <c r="C16" s="7" t="n"/>
      <c r="D16" s="7" t="n"/>
      <c r="E16" s="7" t="n"/>
      <c r="F16" s="7" t="n"/>
      <c r="G16" s="7" t="n"/>
      <c r="H16" s="7" t="n"/>
      <c r="I16" s="7" t="n"/>
      <c r="J16" s="9">
        <f>IF(F16="","",F16*G16)</f>
        <v/>
      </c>
      <c r="K16" s="9">
        <f>IF(J16="","",ROUND(J16*0.05,0))</f>
        <v/>
      </c>
      <c r="L16" s="10">
        <f>IF(OR(H16="Confirmed",H16="Lost",I16=""),"",IF(I16&lt;=$B$3,"Call today",""))</f>
        <v/>
      </c>
    </row>
    <row r="17">
      <c r="A17" s="7" t="n"/>
      <c r="B17" s="7" t="n"/>
      <c r="C17" s="7" t="n"/>
      <c r="D17" s="7" t="n"/>
      <c r="E17" s="7" t="n"/>
      <c r="F17" s="7" t="n"/>
      <c r="G17" s="7" t="n"/>
      <c r="H17" s="7" t="n"/>
      <c r="I17" s="7" t="n"/>
      <c r="J17" s="9">
        <f>IF(F17="","",F17*G17)</f>
        <v/>
      </c>
      <c r="K17" s="9">
        <f>IF(J17="","",ROUND(J17*0.05,0))</f>
        <v/>
      </c>
      <c r="L17" s="10">
        <f>IF(OR(H17="Confirmed",H17="Lost",I17=""),"",IF(I17&lt;=$B$3,"Call today",""))</f>
        <v/>
      </c>
    </row>
    <row r="18">
      <c r="A18" s="7" t="n"/>
      <c r="B18" s="7" t="n"/>
      <c r="C18" s="7" t="n"/>
      <c r="D18" s="7" t="n"/>
      <c r="E18" s="7" t="n"/>
      <c r="F18" s="7" t="n"/>
      <c r="G18" s="7" t="n"/>
      <c r="H18" s="7" t="n"/>
      <c r="I18" s="7" t="n"/>
      <c r="J18" s="9">
        <f>IF(F18="","",F18*G18)</f>
        <v/>
      </c>
      <c r="K18" s="9">
        <f>IF(J18="","",ROUND(J18*0.05,0))</f>
        <v/>
      </c>
      <c r="L18" s="10">
        <f>IF(OR(H18="Confirmed",H18="Lost",I18=""),"",IF(I18&lt;=$B$3,"Call today",""))</f>
        <v/>
      </c>
    </row>
    <row r="19">
      <c r="A19" s="7" t="n"/>
      <c r="B19" s="7" t="n"/>
      <c r="C19" s="7" t="n"/>
      <c r="D19" s="7" t="n"/>
      <c r="E19" s="7" t="n"/>
      <c r="F19" s="7" t="n"/>
      <c r="G19" s="7" t="n"/>
      <c r="H19" s="7" t="n"/>
      <c r="I19" s="7" t="n"/>
      <c r="J19" s="9">
        <f>IF(F19="","",F19*G19)</f>
        <v/>
      </c>
      <c r="K19" s="9">
        <f>IF(J19="","",ROUND(J19*0.05,0))</f>
        <v/>
      </c>
      <c r="L19" s="10">
        <f>IF(OR(H19="Confirmed",H19="Lost",I19=""),"",IF(I19&lt;=$B$3,"Call today",""))</f>
        <v/>
      </c>
    </row>
    <row r="20">
      <c r="A20" s="7" t="n"/>
      <c r="B20" s="7" t="n"/>
      <c r="C20" s="7" t="n"/>
      <c r="D20" s="7" t="n"/>
      <c r="E20" s="7" t="n"/>
      <c r="F20" s="7" t="n"/>
      <c r="G20" s="7" t="n"/>
      <c r="H20" s="7" t="n"/>
      <c r="I20" s="7" t="n"/>
      <c r="J20" s="9">
        <f>IF(F20="","",F20*G20)</f>
        <v/>
      </c>
      <c r="K20" s="9">
        <f>IF(J20="","",ROUND(J20*0.05,0))</f>
        <v/>
      </c>
      <c r="L20" s="10">
        <f>IF(OR(H20="Confirmed",H20="Lost",I20=""),"",IF(I20&lt;=$B$3,"Call today",""))</f>
        <v/>
      </c>
    </row>
    <row r="21">
      <c r="A21" s="7" t="n"/>
      <c r="B21" s="7" t="n"/>
      <c r="C21" s="7" t="n"/>
      <c r="D21" s="7" t="n"/>
      <c r="E21" s="7" t="n"/>
      <c r="F21" s="7" t="n"/>
      <c r="G21" s="7" t="n"/>
      <c r="H21" s="7" t="n"/>
      <c r="I21" s="7" t="n"/>
      <c r="J21" s="9">
        <f>IF(F21="","",F21*G21)</f>
        <v/>
      </c>
      <c r="K21" s="9">
        <f>IF(J21="","",ROUND(J21*0.05,0))</f>
        <v/>
      </c>
      <c r="L21" s="10">
        <f>IF(OR(H21="Confirmed",H21="Lost",I21=""),"",IF(I21&lt;=$B$3,"Call today",""))</f>
        <v/>
      </c>
    </row>
    <row r="22">
      <c r="A22" s="7" t="n"/>
      <c r="B22" s="7" t="n"/>
      <c r="C22" s="7" t="n"/>
      <c r="D22" s="7" t="n"/>
      <c r="E22" s="7" t="n"/>
      <c r="F22" s="7" t="n"/>
      <c r="G22" s="7" t="n"/>
      <c r="H22" s="7" t="n"/>
      <c r="I22" s="7" t="n"/>
      <c r="J22" s="9">
        <f>IF(F22="","",F22*G22)</f>
        <v/>
      </c>
      <c r="K22" s="9">
        <f>IF(J22="","",ROUND(J22*0.05,0))</f>
        <v/>
      </c>
      <c r="L22" s="10">
        <f>IF(OR(H22="Confirmed",H22="Lost",I22=""),"",IF(I22&lt;=$B$3,"Call today",""))</f>
        <v/>
      </c>
    </row>
    <row r="23">
      <c r="A23" s="7" t="n"/>
      <c r="B23" s="7" t="n"/>
      <c r="C23" s="7" t="n"/>
      <c r="D23" s="7" t="n"/>
      <c r="E23" s="7" t="n"/>
      <c r="F23" s="7" t="n"/>
      <c r="G23" s="7" t="n"/>
      <c r="H23" s="7" t="n"/>
      <c r="I23" s="7" t="n"/>
      <c r="J23" s="9">
        <f>IF(F23="","",F23*G23)</f>
        <v/>
      </c>
      <c r="K23" s="9">
        <f>IF(J23="","",ROUND(J23*0.05,0))</f>
        <v/>
      </c>
      <c r="L23" s="10">
        <f>IF(OR(H23="Confirmed",H23="Lost",I23=""),"",IF(I23&lt;=$B$3,"Call today",""))</f>
        <v/>
      </c>
    </row>
    <row r="24">
      <c r="A24" s="7" t="n"/>
      <c r="B24" s="7" t="n"/>
      <c r="C24" s="7" t="n"/>
      <c r="D24" s="7" t="n"/>
      <c r="E24" s="7" t="n"/>
      <c r="F24" s="7" t="n"/>
      <c r="G24" s="7" t="n"/>
      <c r="H24" s="7" t="n"/>
      <c r="I24" s="7" t="n"/>
      <c r="J24" s="9">
        <f>IF(F24="","",F24*G24)</f>
        <v/>
      </c>
      <c r="K24" s="9">
        <f>IF(J24="","",ROUND(J24*0.05,0))</f>
        <v/>
      </c>
      <c r="L24" s="10">
        <f>IF(OR(H24="Confirmed",H24="Lost",I24=""),"",IF(I24&lt;=$B$3,"Call today",""))</f>
        <v/>
      </c>
    </row>
    <row r="25">
      <c r="A25" s="7" t="n"/>
      <c r="B25" s="7" t="n"/>
      <c r="C25" s="7" t="n"/>
      <c r="D25" s="7" t="n"/>
      <c r="E25" s="7" t="n"/>
      <c r="F25" s="7" t="n"/>
      <c r="G25" s="7" t="n"/>
      <c r="H25" s="7" t="n"/>
      <c r="I25" s="7" t="n"/>
      <c r="J25" s="9">
        <f>IF(F25="","",F25*G25)</f>
        <v/>
      </c>
      <c r="K25" s="9">
        <f>IF(J25="","",ROUND(J25*0.05,0))</f>
        <v/>
      </c>
      <c r="L25" s="10">
        <f>IF(OR(H25="Confirmed",H25="Lost",I25=""),"",IF(I25&lt;=$B$3,"Call today",""))</f>
        <v/>
      </c>
    </row>
    <row r="26">
      <c r="A26" s="7" t="n"/>
      <c r="B26" s="7" t="n"/>
      <c r="C26" s="7" t="n"/>
      <c r="D26" s="7" t="n"/>
      <c r="E26" s="7" t="n"/>
      <c r="F26" s="7" t="n"/>
      <c r="G26" s="7" t="n"/>
      <c r="H26" s="7" t="n"/>
      <c r="I26" s="7" t="n"/>
      <c r="J26" s="9">
        <f>IF(F26="","",F26*G26)</f>
        <v/>
      </c>
      <c r="K26" s="9">
        <f>IF(J26="","",ROUND(J26*0.05,0))</f>
        <v/>
      </c>
      <c r="L26" s="10">
        <f>IF(OR(H26="Confirmed",H26="Lost",I26=""),"",IF(I26&lt;=$B$3,"Call today",""))</f>
        <v/>
      </c>
    </row>
    <row r="27">
      <c r="A27" s="7" t="n"/>
      <c r="B27" s="7" t="n"/>
      <c r="C27" s="7" t="n"/>
      <c r="D27" s="7" t="n"/>
      <c r="E27" s="7" t="n"/>
      <c r="F27" s="7" t="n"/>
      <c r="G27" s="7" t="n"/>
      <c r="H27" s="7" t="n"/>
      <c r="I27" s="7" t="n"/>
      <c r="J27" s="9">
        <f>IF(F27="","",F27*G27)</f>
        <v/>
      </c>
      <c r="K27" s="9">
        <f>IF(J27="","",ROUND(J27*0.05,0))</f>
        <v/>
      </c>
      <c r="L27" s="10">
        <f>IF(OR(H27="Confirmed",H27="Lost",I27=""),"",IF(I27&lt;=$B$3,"Call today",""))</f>
        <v/>
      </c>
    </row>
    <row r="28">
      <c r="A28" s="7" t="n"/>
      <c r="B28" s="7" t="n"/>
      <c r="C28" s="7" t="n"/>
      <c r="D28" s="7" t="n"/>
      <c r="E28" s="7" t="n"/>
      <c r="F28" s="7" t="n"/>
      <c r="G28" s="7" t="n"/>
      <c r="H28" s="7" t="n"/>
      <c r="I28" s="7" t="n"/>
      <c r="J28" s="9">
        <f>IF(F28="","",F28*G28)</f>
        <v/>
      </c>
      <c r="K28" s="9">
        <f>IF(J28="","",ROUND(J28*0.05,0))</f>
        <v/>
      </c>
      <c r="L28" s="10">
        <f>IF(OR(H28="Confirmed",H28="Lost",I28=""),"",IF(I28&lt;=$B$3,"Call today",""))</f>
        <v/>
      </c>
    </row>
    <row r="29">
      <c r="A29" s="7" t="n"/>
      <c r="B29" s="7" t="n"/>
      <c r="C29" s="7" t="n"/>
      <c r="D29" s="7" t="n"/>
      <c r="E29" s="7" t="n"/>
      <c r="F29" s="7" t="n"/>
      <c r="G29" s="7" t="n"/>
      <c r="H29" s="7" t="n"/>
      <c r="I29" s="7" t="n"/>
      <c r="J29" s="9">
        <f>IF(F29="","",F29*G29)</f>
        <v/>
      </c>
      <c r="K29" s="9">
        <f>IF(J29="","",ROUND(J29*0.05,0))</f>
        <v/>
      </c>
      <c r="L29" s="10">
        <f>IF(OR(H29="Confirmed",H29="Lost",I29=""),"",IF(I29&lt;=$B$3,"Call today",""))</f>
        <v/>
      </c>
    </row>
    <row r="30">
      <c r="A30" s="7" t="n"/>
      <c r="B30" s="7" t="n"/>
      <c r="C30" s="7" t="n"/>
      <c r="D30" s="7" t="n"/>
      <c r="E30" s="7" t="n"/>
      <c r="F30" s="7" t="n"/>
      <c r="G30" s="7" t="n"/>
      <c r="H30" s="7" t="n"/>
      <c r="I30" s="7" t="n"/>
      <c r="J30" s="9">
        <f>IF(F30="","",F30*G30)</f>
        <v/>
      </c>
      <c r="K30" s="9">
        <f>IF(J30="","",ROUND(J30*0.05,0))</f>
        <v/>
      </c>
      <c r="L30" s="10">
        <f>IF(OR(H30="Confirmed",H30="Lost",I30=""),"",IF(I30&lt;=$B$3,"Call today",""))</f>
        <v/>
      </c>
    </row>
    <row r="32">
      <c r="A32" s="5" t="inlineStr">
        <is>
          <t>Status</t>
        </is>
      </c>
      <c r="B32" s="5" t="inlineStr">
        <is>
          <t>Enquiries</t>
        </is>
      </c>
      <c r="C32" s="5" t="inlineStr">
        <is>
          <t>Value before GST (Rs)</t>
        </is>
      </c>
    </row>
    <row r="33">
      <c r="A33" t="inlineStr">
        <is>
          <t>New</t>
        </is>
      </c>
      <c r="B33" s="11">
        <f>COUNTIF($H$6:$H$30,A33)</f>
        <v/>
      </c>
      <c r="C33" s="9">
        <f>SUMIF($H$6:$H$30,A33,$J$6:$J$30)</f>
        <v/>
      </c>
    </row>
    <row r="34">
      <c r="A34" t="inlineStr">
        <is>
          <t>Quote sent</t>
        </is>
      </c>
      <c r="B34" s="11">
        <f>COUNTIF($H$6:$H$30,A34)</f>
        <v/>
      </c>
      <c r="C34" s="9">
        <f>SUMIF($H$6:$H$30,A34,$J$6:$J$30)</f>
        <v/>
      </c>
    </row>
    <row r="35">
      <c r="A35" t="inlineStr">
        <is>
          <t>Tasting</t>
        </is>
      </c>
      <c r="B35" s="11">
        <f>COUNTIF($H$6:$H$30,A35)</f>
        <v/>
      </c>
      <c r="C35" s="9">
        <f>SUMIF($H$6:$H$30,A35,$J$6:$J$30)</f>
        <v/>
      </c>
    </row>
    <row r="36">
      <c r="A36" t="inlineStr">
        <is>
          <t>Token paid</t>
        </is>
      </c>
      <c r="B36" s="11">
        <f>COUNTIF($H$6:$H$30,A36)</f>
        <v/>
      </c>
      <c r="C36" s="9">
        <f>SUMIF($H$6:$H$30,A36,$J$6:$J$30)</f>
        <v/>
      </c>
    </row>
    <row r="37">
      <c r="A37" t="inlineStr">
        <is>
          <t>Confirmed</t>
        </is>
      </c>
      <c r="B37" s="11">
        <f>COUNTIF($H$6:$H$30,A37)</f>
        <v/>
      </c>
      <c r="C37" s="9">
        <f>SUMIF($H$6:$H$30,A37,$J$6:$J$30)</f>
        <v/>
      </c>
    </row>
    <row r="38">
      <c r="A38" t="inlineStr">
        <is>
          <t>Lost</t>
        </is>
      </c>
      <c r="B38" s="11">
        <f>COUNTIF($H$6:$H$30,A38)</f>
        <v/>
      </c>
      <c r="C38" s="9">
        <f>SUMIF($H$6:$H$30,A38,$J$6:$J$30)</f>
        <v/>
      </c>
    </row>
    <row r="40">
      <c r="A40" t="inlineStr">
        <is>
          <t>Total enquiries</t>
        </is>
      </c>
      <c r="B40" s="11">
        <f>COUNTA(B6:B30)</f>
        <v/>
      </c>
    </row>
    <row r="41">
      <c r="A41" t="inlineStr">
        <is>
          <t>Win rate (Confirmed + Token paid / all enquiries)</t>
        </is>
      </c>
      <c r="B41" s="12">
        <f>IF(B40=0,"",ROUND((B36+B37)/B40*100,0))</f>
        <v/>
      </c>
    </row>
    <row r="42">
      <c r="A42" t="inlineStr">
        <is>
          <t>Open pipeline (New, Quote sent, Tasting), Rs</t>
        </is>
      </c>
      <c r="B42" s="9">
        <f>C33+C34+C35</f>
        <v/>
      </c>
    </row>
    <row r="43">
      <c r="A43" t="inlineStr">
        <is>
          <t>Follow-ups due today or earlier</t>
        </is>
      </c>
      <c r="B43" s="11">
        <f>COUNTIF(L6:L30,"Call today")</f>
        <v/>
      </c>
    </row>
  </sheetData>
  <dataValidations count="1">
    <dataValidation sqref="H6:H30" showDropDown="0" showInputMessage="0" showErrorMessage="0" allowBlank="1" type="list">
      <formula1>"New,Quote sent,Tasting,Token paid,Confirmed,Lost"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8" customWidth="1" min="1" max="1"/>
    <col width="16" customWidth="1" min="2" max="2"/>
    <col width="18" customWidth="1" min="3" max="3"/>
    <col width="22" customWidth="1" min="4" max="4"/>
    <col width="22" customWidth="1" min="5" max="5"/>
    <col width="14" customWidth="1" min="6" max="6"/>
  </cols>
  <sheetData>
    <row r="1">
      <c r="A1" s="1" t="inlineStr">
        <is>
          <t>Grocery sizer</t>
        </is>
      </c>
    </row>
    <row r="2">
      <c r="A2" s="3" t="inlineStr">
        <is>
          <t>Raw quantity = guests x grams per guest x (1 + buffer). Norms are samples for a mixed vegetarian buffet.</t>
        </is>
      </c>
    </row>
    <row r="3">
      <c r="A3" t="inlineStr">
        <is>
          <t>Confirmed guests</t>
        </is>
      </c>
      <c r="B3" s="7" t="n">
        <v>350</v>
      </c>
    </row>
    <row r="4">
      <c r="A4" t="inlineStr">
        <is>
          <t>Buffer for extra plates and spillage (%)</t>
        </is>
      </c>
      <c r="B4" s="13" t="n">
        <v>8</v>
      </c>
    </row>
    <row r="6">
      <c r="A6" s="5" t="inlineStr">
        <is>
          <t>Item</t>
        </is>
      </c>
      <c r="B6" s="5" t="inlineStr">
        <is>
          <t>Category</t>
        </is>
      </c>
      <c r="C6" s="5" t="inlineStr">
        <is>
          <t>Raw grams per guest</t>
        </is>
      </c>
      <c r="D6" s="5" t="inlineStr">
        <is>
          <t>Rate (Rs per kg or litre)</t>
        </is>
      </c>
      <c r="E6" s="5" t="inlineStr">
        <is>
          <t>Quantity to buy (kg or L)</t>
        </is>
      </c>
      <c r="F6" s="5" t="inlineStr">
        <is>
          <t>Cost (Rs)</t>
        </is>
      </c>
    </row>
    <row r="7">
      <c r="A7" s="7" t="inlineStr">
        <is>
          <t>Basmati rice</t>
        </is>
      </c>
      <c r="B7" s="7" t="inlineStr">
        <is>
          <t>Grocery</t>
        </is>
      </c>
      <c r="C7" s="7" t="n">
        <v>90</v>
      </c>
      <c r="D7" s="8" t="n">
        <v>115</v>
      </c>
      <c r="E7" s="14">
        <f>ROUND($B$3*C7/1000*(1+$B$4/100),1)</f>
        <v/>
      </c>
      <c r="F7" s="9">
        <f>ROUND(E7*D7,0)</f>
        <v/>
      </c>
    </row>
    <row r="8">
      <c r="A8" s="7" t="inlineStr">
        <is>
          <t>Toor dal</t>
        </is>
      </c>
      <c r="B8" s="7" t="inlineStr">
        <is>
          <t>Grocery</t>
        </is>
      </c>
      <c r="C8" s="7" t="n">
        <v>30</v>
      </c>
      <c r="D8" s="8" t="n">
        <v>130</v>
      </c>
      <c r="E8" s="14">
        <f>ROUND($B$3*C8/1000*(1+$B$4/100),1)</f>
        <v/>
      </c>
      <c r="F8" s="9">
        <f>ROUND(E8*D8,0)</f>
        <v/>
      </c>
    </row>
    <row r="9">
      <c r="A9" s="7" t="inlineStr">
        <is>
          <t>Maida and atta</t>
        </is>
      </c>
      <c r="B9" s="7" t="inlineStr">
        <is>
          <t>Grocery</t>
        </is>
      </c>
      <c r="C9" s="7" t="n">
        <v>70</v>
      </c>
      <c r="D9" s="8" t="n">
        <v>42</v>
      </c>
      <c r="E9" s="14">
        <f>ROUND($B$3*C9/1000*(1+$B$4/100),1)</f>
        <v/>
      </c>
      <c r="F9" s="9">
        <f>ROUND(E9*D9,0)</f>
        <v/>
      </c>
    </row>
    <row r="10">
      <c r="A10" s="7" t="inlineStr">
        <is>
          <t>Sugar</t>
        </is>
      </c>
      <c r="B10" s="7" t="inlineStr">
        <is>
          <t>Grocery</t>
        </is>
      </c>
      <c r="C10" s="7" t="n">
        <v>30</v>
      </c>
      <c r="D10" s="8" t="n">
        <v>48</v>
      </c>
      <c r="E10" s="14">
        <f>ROUND($B$3*C10/1000*(1+$B$4/100),1)</f>
        <v/>
      </c>
      <c r="F10" s="9">
        <f>ROUND(E10*D10,0)</f>
        <v/>
      </c>
    </row>
    <row r="11">
      <c r="A11" s="7" t="inlineStr">
        <is>
          <t>Spice blend</t>
        </is>
      </c>
      <c r="B11" s="7" t="inlineStr">
        <is>
          <t>Grocery</t>
        </is>
      </c>
      <c r="C11" s="7" t="n">
        <v>8</v>
      </c>
      <c r="D11" s="8" t="n">
        <v>450</v>
      </c>
      <c r="E11" s="14">
        <f>ROUND($B$3*C11/1000*(1+$B$4/100),1)</f>
        <v/>
      </c>
      <c r="F11" s="9">
        <f>ROUND(E11*D11,0)</f>
        <v/>
      </c>
    </row>
    <row r="12">
      <c r="A12" s="7" t="inlineStr">
        <is>
          <t>Paneer</t>
        </is>
      </c>
      <c r="B12" s="7" t="inlineStr">
        <is>
          <t>Dairy</t>
        </is>
      </c>
      <c r="C12" s="7" t="n">
        <v>45</v>
      </c>
      <c r="D12" s="8" t="n">
        <v>360</v>
      </c>
      <c r="E12" s="14">
        <f>ROUND($B$3*C12/1000*(1+$B$4/100),1)</f>
        <v/>
      </c>
      <c r="F12" s="9">
        <f>ROUND(E12*D12,0)</f>
        <v/>
      </c>
    </row>
    <row r="13">
      <c r="A13" s="7" t="inlineStr">
        <is>
          <t>Curd</t>
        </is>
      </c>
      <c r="B13" s="7" t="inlineStr">
        <is>
          <t>Dairy</t>
        </is>
      </c>
      <c r="C13" s="7" t="n">
        <v>60</v>
      </c>
      <c r="D13" s="8" t="n">
        <v>70</v>
      </c>
      <c r="E13" s="14">
        <f>ROUND($B$3*C13/1000*(1+$B$4/100),1)</f>
        <v/>
      </c>
      <c r="F13" s="9">
        <f>ROUND(E13*D13,0)</f>
        <v/>
      </c>
    </row>
    <row r="14">
      <c r="A14" s="7" t="inlineStr">
        <is>
          <t>Milk</t>
        </is>
      </c>
      <c r="B14" s="7" t="inlineStr">
        <is>
          <t>Dairy</t>
        </is>
      </c>
      <c r="C14" s="7" t="n">
        <v>40</v>
      </c>
      <c r="D14" s="8" t="n">
        <v>58</v>
      </c>
      <c r="E14" s="14">
        <f>ROUND($B$3*C14/1000*(1+$B$4/100),1)</f>
        <v/>
      </c>
      <c r="F14" s="9">
        <f>ROUND(E14*D14,0)</f>
        <v/>
      </c>
    </row>
    <row r="15">
      <c r="A15" s="7" t="inlineStr">
        <is>
          <t>Ghee</t>
        </is>
      </c>
      <c r="B15" s="7" t="inlineStr">
        <is>
          <t>Dairy</t>
        </is>
      </c>
      <c r="C15" s="7" t="n">
        <v>8</v>
      </c>
      <c r="D15" s="8" t="n">
        <v>560</v>
      </c>
      <c r="E15" s="14">
        <f>ROUND($B$3*C15/1000*(1+$B$4/100),1)</f>
        <v/>
      </c>
      <c r="F15" s="9">
        <f>ROUND(E15*D15,0)</f>
        <v/>
      </c>
    </row>
    <row r="16">
      <c r="A16" s="7" t="inlineStr">
        <is>
          <t>Mixed vegetables</t>
        </is>
      </c>
      <c r="B16" s="7" t="inlineStr">
        <is>
          <t>Vegetables</t>
        </is>
      </c>
      <c r="C16" s="7" t="n">
        <v>160</v>
      </c>
      <c r="D16" s="8" t="n">
        <v>55</v>
      </c>
      <c r="E16" s="14">
        <f>ROUND($B$3*C16/1000*(1+$B$4/100),1)</f>
        <v/>
      </c>
      <c r="F16" s="9">
        <f>ROUND(E16*D16,0)</f>
        <v/>
      </c>
    </row>
    <row r="17">
      <c r="A17" s="7" t="inlineStr">
        <is>
          <t>Onion</t>
        </is>
      </c>
      <c r="B17" s="7" t="inlineStr">
        <is>
          <t>Vegetables</t>
        </is>
      </c>
      <c r="C17" s="7" t="n">
        <v>60</v>
      </c>
      <c r="D17" s="8" t="n">
        <v>35</v>
      </c>
      <c r="E17" s="14">
        <f>ROUND($B$3*C17/1000*(1+$B$4/100),1)</f>
        <v/>
      </c>
      <c r="F17" s="9">
        <f>ROUND(E17*D17,0)</f>
        <v/>
      </c>
    </row>
    <row r="18">
      <c r="A18" s="7" t="inlineStr">
        <is>
          <t>Tomato</t>
        </is>
      </c>
      <c r="B18" s="7" t="inlineStr">
        <is>
          <t>Vegetables</t>
        </is>
      </c>
      <c r="C18" s="7" t="n">
        <v>50</v>
      </c>
      <c r="D18" s="8" t="n">
        <v>40</v>
      </c>
      <c r="E18" s="14">
        <f>ROUND($B$3*C18/1000*(1+$B$4/100),1)</f>
        <v/>
      </c>
      <c r="F18" s="9">
        <f>ROUND(E18*D18,0)</f>
        <v/>
      </c>
    </row>
    <row r="19">
      <c r="A19" s="7" t="inlineStr">
        <is>
          <t>Salad vegetables</t>
        </is>
      </c>
      <c r="B19" s="7" t="inlineStr">
        <is>
          <t>Vegetables</t>
        </is>
      </c>
      <c r="C19" s="7" t="n">
        <v>50</v>
      </c>
      <c r="D19" s="8" t="n">
        <v>45</v>
      </c>
      <c r="E19" s="14">
        <f>ROUND($B$3*C19/1000*(1+$B$4/100),1)</f>
        <v/>
      </c>
      <c r="F19" s="9">
        <f>ROUND(E19*D19,0)</f>
        <v/>
      </c>
    </row>
    <row r="20">
      <c r="A20" s="7" t="inlineStr">
        <is>
          <t>Refined oil</t>
        </is>
      </c>
      <c r="B20" s="7" t="inlineStr">
        <is>
          <t>Oil and fuel</t>
        </is>
      </c>
      <c r="C20" s="7" t="n">
        <v>25</v>
      </c>
      <c r="D20" s="8" t="n">
        <v>140</v>
      </c>
      <c r="E20" s="14">
        <f>ROUND($B$3*C20/1000*(1+$B$4/100),1)</f>
        <v/>
      </c>
      <c r="F20" s="9">
        <f>ROUND(E20*D20,0)</f>
        <v/>
      </c>
    </row>
    <row r="22">
      <c r="A22" s="5" t="inlineStr">
        <is>
          <t>Category</t>
        </is>
      </c>
      <c r="B22" s="5" t="inlineStr"/>
      <c r="C22" s="5" t="inlineStr"/>
      <c r="D22" s="5" t="inlineStr"/>
      <c r="E22" s="5" t="inlineStr">
        <is>
          <t>Kg or L</t>
        </is>
      </c>
      <c r="F22" s="5" t="inlineStr">
        <is>
          <t>Cost (Rs)</t>
        </is>
      </c>
    </row>
    <row r="23">
      <c r="A23" t="inlineStr">
        <is>
          <t>Grocery</t>
        </is>
      </c>
      <c r="E23" s="14">
        <f>SUMIF($B$7:$B$20,A23,$E$7:$E$20)</f>
        <v/>
      </c>
      <c r="F23" s="9">
        <f>SUMIF($B$7:$B$20,A23,$F$7:$F$20)</f>
        <v/>
      </c>
    </row>
    <row r="24">
      <c r="A24" t="inlineStr">
        <is>
          <t>Dairy</t>
        </is>
      </c>
      <c r="E24" s="14">
        <f>SUMIF($B$7:$B$20,A24,$E$7:$E$20)</f>
        <v/>
      </c>
      <c r="F24" s="9">
        <f>SUMIF($B$7:$B$20,A24,$F$7:$F$20)</f>
        <v/>
      </c>
    </row>
    <row r="25">
      <c r="A25" t="inlineStr">
        <is>
          <t>Vegetables</t>
        </is>
      </c>
      <c r="E25" s="14">
        <f>SUMIF($B$7:$B$20,A25,$E$7:$E$20)</f>
        <v/>
      </c>
      <c r="F25" s="9">
        <f>SUMIF($B$7:$B$20,A25,$F$7:$F$20)</f>
        <v/>
      </c>
    </row>
    <row r="26">
      <c r="A26" t="inlineStr">
        <is>
          <t>Oil and fuel</t>
        </is>
      </c>
      <c r="E26" s="14">
        <f>SUMIF($B$7:$B$20,A26,$E$7:$E$20)</f>
        <v/>
      </c>
      <c r="F26" s="9">
        <f>SUMIF($B$7:$B$20,A26,$F$7:$F$20)</f>
        <v/>
      </c>
    </row>
    <row r="27">
      <c r="A27" s="15" t="inlineStr">
        <is>
          <t>Total raw material cost (Rs)</t>
        </is>
      </c>
      <c r="F27" s="16">
        <f>SUM(F7:F20)</f>
        <v/>
      </c>
    </row>
    <row r="28">
      <c r="A28" t="inlineStr">
        <is>
          <t>Core cooking items per plate (Rs)</t>
        </is>
      </c>
      <c r="F28" s="9">
        <f>ROUND(F27/B3,0)</f>
        <v/>
      </c>
    </row>
    <row r="29">
      <c r="A29" t="inlineStr">
        <is>
          <t>Starters, sweets, beverages, ice cream, live counters and packaged items per plate (Rs)</t>
        </is>
      </c>
      <c r="F29" s="8" t="n">
        <v>300</v>
      </c>
    </row>
    <row r="30">
      <c r="A30" s="15" t="inlineStr">
        <is>
          <t>Total raw material per plate (Rs)</t>
        </is>
      </c>
      <c r="F30" s="16">
        <f>F28+F29</f>
        <v/>
      </c>
    </row>
    <row r="31">
      <c r="A31" t="inlineStr">
        <is>
          <t>As a share of the quoted plate rate (%)</t>
        </is>
      </c>
      <c r="F31" s="17">
        <f>ROUND(F30/'Quote &amp; Payments'!B5*100,1)</f>
        <v/>
      </c>
    </row>
    <row r="33">
      <c r="A33" s="3" t="inlineStr">
        <is>
          <t>The sizer covers core cooking items only. Enter the rest per plate in the yellow cell, or add rows above.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58" customWidth="1" min="1" max="1"/>
    <col width="16" customWidth="1" min="2" max="2"/>
    <col width="16" customWidth="1" min="3" max="3"/>
  </cols>
  <sheetData>
    <row r="1">
      <c r="A1" s="1" t="inlineStr">
        <is>
          <t>Quote and payment schedule</t>
        </is>
      </c>
    </row>
    <row r="2">
      <c r="A2" s="3" t="inlineStr">
        <is>
          <t>Catering at ordinary premises: 5% GST (2.5% CGST + 2.5% SGST), no ITC. Guest count changes flow into every line below.</t>
        </is>
      </c>
    </row>
    <row r="3">
      <c r="A3" t="inlineStr">
        <is>
          <t>Event date</t>
        </is>
      </c>
      <c r="B3" s="4" t="n">
        <v>46340</v>
      </c>
    </row>
    <row r="4">
      <c r="A4" t="inlineStr">
        <is>
          <t>Billable guests (higher of actual and minimum guarantee)</t>
        </is>
      </c>
      <c r="B4" s="8" t="n">
        <v>350</v>
      </c>
    </row>
    <row r="5">
      <c r="A5" t="inlineStr">
        <is>
          <t>Rate per plate (Rs)</t>
        </is>
      </c>
      <c r="B5" s="8" t="n">
        <v>1150</v>
      </c>
    </row>
    <row r="6">
      <c r="A6" t="inlineStr">
        <is>
          <t>Live counters (number)</t>
        </is>
      </c>
      <c r="B6" s="18" t="n">
        <v>2</v>
      </c>
    </row>
    <row r="7">
      <c r="A7" t="inlineStr">
        <is>
          <t>Rate per live counter (Rs)</t>
        </is>
      </c>
      <c r="B7" s="8" t="n">
        <v>22000</v>
      </c>
    </row>
    <row r="8">
      <c r="A8" t="inlineStr">
        <is>
          <t>Service staff and captains (Rs)</t>
        </is>
      </c>
      <c r="B8" s="8" t="n">
        <v>28000</v>
      </c>
    </row>
    <row r="9">
      <c r="A9" t="inlineStr">
        <is>
          <t>Transport and setup (Rs)</t>
        </is>
      </c>
      <c r="B9" s="8" t="n">
        <v>9000</v>
      </c>
    </row>
    <row r="10">
      <c r="A10" t="inlineStr">
        <is>
          <t>GST rate on catering (%)</t>
        </is>
      </c>
      <c r="B10" s="13" t="n">
        <v>5</v>
      </c>
    </row>
    <row r="11">
      <c r="A11" t="inlineStr">
        <is>
          <t>Token share (%)</t>
        </is>
      </c>
      <c r="B11" s="18" t="n">
        <v>25</v>
      </c>
    </row>
    <row r="12">
      <c r="A12" t="inlineStr">
        <is>
          <t>Mid payment share (%)</t>
        </is>
      </c>
      <c r="B12" s="18" t="n">
        <v>50</v>
      </c>
    </row>
    <row r="13">
      <c r="A13" s="5" t="inlineStr">
        <is>
          <t>Quote</t>
        </is>
      </c>
      <c r="B13" s="5" t="inlineStr">
        <is>
          <t>Rs</t>
        </is>
      </c>
    </row>
    <row r="14">
      <c r="A14" s="19" t="inlineStr">
        <is>
          <t>Food (plates x rate)</t>
        </is>
      </c>
      <c r="B14" s="9">
        <f>B4*B5</f>
        <v/>
      </c>
    </row>
    <row r="15">
      <c r="A15" s="19" t="inlineStr">
        <is>
          <t>Live counters</t>
        </is>
      </c>
      <c r="B15" s="9">
        <f>B6*B7</f>
        <v/>
      </c>
    </row>
    <row r="16">
      <c r="A16" s="19" t="inlineStr">
        <is>
          <t>Service staff and captains</t>
        </is>
      </c>
      <c r="B16" s="9">
        <f>B8</f>
        <v/>
      </c>
    </row>
    <row r="17">
      <c r="A17" s="19" t="inlineStr">
        <is>
          <t>Transport and setup</t>
        </is>
      </c>
      <c r="B17" s="9">
        <f>B9</f>
        <v/>
      </c>
    </row>
    <row r="18">
      <c r="A18" s="15" t="inlineStr">
        <is>
          <t>Subtotal before GST</t>
        </is>
      </c>
      <c r="B18" s="16">
        <f>SUM(B14:B17)</f>
        <v/>
      </c>
    </row>
    <row r="19">
      <c r="A19" s="15" t="inlineStr">
        <is>
          <t>CGST</t>
        </is>
      </c>
      <c r="B19" s="20">
        <f>ROUND(B18*B10/200,2)</f>
        <v/>
      </c>
    </row>
    <row r="20">
      <c r="A20" s="15" t="inlineStr">
        <is>
          <t>SGST</t>
        </is>
      </c>
      <c r="B20" s="20">
        <f>B19</f>
        <v/>
      </c>
    </row>
    <row r="21">
      <c r="A21" s="15" t="inlineStr">
        <is>
          <t>Total invoice value</t>
        </is>
      </c>
      <c r="B21" s="20">
        <f>B18+B19+B20</f>
        <v/>
      </c>
    </row>
    <row r="23">
      <c r="A23" s="5" t="inlineStr">
        <is>
          <t>Payment</t>
        </is>
      </c>
      <c r="B23" s="5" t="inlineStr">
        <is>
          <t>Amount (Rs)</t>
        </is>
      </c>
      <c r="C23" s="5" t="inlineStr">
        <is>
          <t>Due date</t>
        </is>
      </c>
    </row>
    <row r="24">
      <c r="A24" t="inlineStr">
        <is>
          <t>1. Token to confirm the date</t>
        </is>
      </c>
      <c r="B24" s="9">
        <f>ROUND(B21*B11/100,0)</f>
        <v/>
      </c>
      <c r="C24" s="21">
        <f>B3-60</f>
        <v/>
      </c>
    </row>
    <row r="25">
      <c r="A25" t="inlineStr">
        <is>
          <t>2. Mid payment after final menu</t>
        </is>
      </c>
      <c r="B25" s="9">
        <f>ROUND(B21*B12/100,0)</f>
        <v/>
      </c>
      <c r="C25" s="21">
        <f>B3-14</f>
        <v/>
      </c>
    </row>
    <row r="26">
      <c r="A26" t="inlineStr">
        <is>
          <t>3. Final balance</t>
        </is>
      </c>
      <c r="B26" s="9">
        <f>B21-B24-B25</f>
        <v/>
      </c>
      <c r="C26" s="21">
        <f>B3-2</f>
        <v/>
      </c>
    </row>
    <row r="27">
      <c r="A27" t="inlineStr">
        <is>
          <t>Check: instalments minus invoice value</t>
        </is>
      </c>
      <c r="B27" s="9">
        <f>B24+B25+B26-B21</f>
        <v/>
      </c>
    </row>
    <row r="28">
      <c r="A28" t="inlineStr">
        <is>
          <t>Cost per guest, all in (Rs)</t>
        </is>
      </c>
      <c r="B28" s="9">
        <f>ROUND(B21/B4,0)</f>
        <v/>
      </c>
    </row>
    <row r="30">
      <c r="A30" s="3" t="inlineStr">
        <is>
          <t>Issue a receipt voucher for each instalment and adjust it on the final tax invoice. Confirm advance GST timing with your CA.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44" customWidth="1" min="2" max="2"/>
    <col width="12" customWidth="1" min="3" max="3"/>
    <col width="10" customWidth="1" min="4" max="4"/>
    <col width="10" customWidth="1" min="5" max="5"/>
    <col width="12" customWidth="1" min="6" max="6"/>
  </cols>
  <sheetData>
    <row r="1">
      <c r="A1" s="1" t="inlineStr">
        <is>
          <t>Dispatch checklist</t>
        </is>
      </c>
    </row>
    <row r="2">
      <c r="A2" s="3" t="inlineStr">
        <is>
          <t>Quantities scale from the guest count. Mark Packed and Loaded before the vehicle leaves and Returned when it comes back.</t>
        </is>
      </c>
    </row>
    <row r="3">
      <c r="A3" t="inlineStr">
        <is>
          <t>Guests</t>
        </is>
      </c>
      <c r="B3" s="7" t="n">
        <v>350</v>
      </c>
    </row>
    <row r="4">
      <c r="A4" t="inlineStr">
        <is>
          <t>Dishes on the buffet</t>
        </is>
      </c>
      <c r="B4" s="7" t="n">
        <v>12</v>
      </c>
    </row>
    <row r="5">
      <c r="A5" t="inlineStr">
        <is>
          <t>Buffet lines (one per 250 guests)</t>
        </is>
      </c>
      <c r="B5" s="11">
        <f>ROUNDUP(B3/250,0)</f>
        <v/>
      </c>
    </row>
    <row r="7">
      <c r="A7" s="5" t="inlineStr">
        <is>
          <t>Item</t>
        </is>
      </c>
      <c r="B7" s="5" t="inlineStr">
        <is>
          <t>Planning norm</t>
        </is>
      </c>
      <c r="C7" s="5" t="inlineStr">
        <is>
          <t>Quantity</t>
        </is>
      </c>
      <c r="D7" s="5" t="inlineStr">
        <is>
          <t>Packed</t>
        </is>
      </c>
      <c r="E7" s="5" t="inlineStr">
        <is>
          <t>Loaded</t>
        </is>
      </c>
      <c r="F7" s="5" t="inlineStr">
        <is>
          <t>Returned</t>
        </is>
      </c>
    </row>
    <row r="8">
      <c r="A8" t="inlineStr">
        <is>
          <t>Chafing dishes</t>
        </is>
      </c>
      <c r="B8" s="22" t="inlineStr">
        <is>
          <t>one per dish per line</t>
        </is>
      </c>
      <c r="C8" s="9">
        <f>B4*B5</f>
        <v/>
      </c>
      <c r="D8" s="7" t="inlineStr">
        <is>
          <t>No</t>
        </is>
      </c>
      <c r="E8" s="7" t="inlineStr">
        <is>
          <t>No</t>
        </is>
      </c>
      <c r="F8" s="7" t="n"/>
    </row>
    <row r="9">
      <c r="A9" t="inlineStr">
        <is>
          <t>Serving spoons and tongs</t>
        </is>
      </c>
      <c r="B9" s="22" t="inlineStr">
        <is>
          <t>two per dish per line</t>
        </is>
      </c>
      <c r="C9" s="9">
        <f>B4*B5*2</f>
        <v/>
      </c>
      <c r="D9" s="7" t="inlineStr">
        <is>
          <t>No</t>
        </is>
      </c>
      <c r="E9" s="7" t="inlineStr">
        <is>
          <t>No</t>
        </is>
      </c>
      <c r="F9" s="7" t="n"/>
    </row>
    <row r="10">
      <c r="A10" t="inlineStr">
        <is>
          <t>Dinner plates</t>
        </is>
      </c>
      <c r="B10" s="22" t="inlineStr">
        <is>
          <t>guests plus 15%</t>
        </is>
      </c>
      <c r="C10" s="9">
        <f>ROUNDUP(B3*1.15,0)</f>
        <v/>
      </c>
      <c r="D10" s="7" t="inlineStr">
        <is>
          <t>No</t>
        </is>
      </c>
      <c r="E10" s="7" t="inlineStr">
        <is>
          <t>No</t>
        </is>
      </c>
      <c r="F10" s="7" t="n"/>
    </row>
    <row r="11">
      <c r="A11" t="inlineStr">
        <is>
          <t>Water glasses</t>
        </is>
      </c>
      <c r="B11" s="22" t="inlineStr">
        <is>
          <t>1.5 per guest</t>
        </is>
      </c>
      <c r="C11" s="9">
        <f>ROUNDUP(B3*1.5,0)</f>
        <v/>
      </c>
      <c r="D11" s="7" t="inlineStr">
        <is>
          <t>No</t>
        </is>
      </c>
      <c r="E11" s="7" t="inlineStr">
        <is>
          <t>No</t>
        </is>
      </c>
      <c r="F11" s="7" t="n"/>
    </row>
    <row r="12">
      <c r="A12" t="inlineStr">
        <is>
          <t>Napkin packs (50 each)</t>
        </is>
      </c>
      <c r="B12" s="22" t="inlineStr">
        <is>
          <t>2 napkins per guest</t>
        </is>
      </c>
      <c r="C12" s="9">
        <f>ROUNDUP(B3*2/50,0)</f>
        <v/>
      </c>
      <c r="D12" s="7" t="inlineStr">
        <is>
          <t>No</t>
        </is>
      </c>
      <c r="E12" s="7" t="inlineStr">
        <is>
          <t>No</t>
        </is>
      </c>
      <c r="F12" s="7" t="n"/>
    </row>
    <row r="13">
      <c r="A13" t="inlineStr">
        <is>
          <t>Stewards</t>
        </is>
      </c>
      <c r="B13" s="22" t="inlineStr">
        <is>
          <t>1 per 28 guests</t>
        </is>
      </c>
      <c r="C13" s="9">
        <f>ROUNDUP(B3/28,0)</f>
        <v/>
      </c>
      <c r="D13" s="7" t="inlineStr">
        <is>
          <t>No</t>
        </is>
      </c>
      <c r="E13" s="7" t="inlineStr">
        <is>
          <t>No</t>
        </is>
      </c>
      <c r="F13" s="7" t="n"/>
    </row>
    <row r="14">
      <c r="A14" t="inlineStr">
        <is>
          <t>Captains</t>
        </is>
      </c>
      <c r="B14" s="22" t="inlineStr">
        <is>
          <t>1 per 10 stewards</t>
        </is>
      </c>
      <c r="C14" s="9">
        <f>ROUNDUP(ROUNDUP(B3/28,0)/10,0)</f>
        <v/>
      </c>
      <c r="D14" s="7" t="inlineStr">
        <is>
          <t>No</t>
        </is>
      </c>
      <c r="E14" s="7" t="inlineStr">
        <is>
          <t>No</t>
        </is>
      </c>
      <c r="F14" s="7" t="n"/>
    </row>
    <row r="15">
      <c r="A15" t="inlineStr">
        <is>
          <t>Cooking gas cylinders (19 kg)</t>
        </is>
      </c>
      <c r="B15" s="22" t="inlineStr">
        <is>
          <t>starting norm 1 per 90 guests; adjust to your menu</t>
        </is>
      </c>
      <c r="C15" s="9">
        <f>ROUNDUP(B3/90,0)</f>
        <v/>
      </c>
      <c r="D15" s="7" t="inlineStr">
        <is>
          <t>No</t>
        </is>
      </c>
      <c r="E15" s="7" t="inlineStr">
        <is>
          <t>No</t>
        </is>
      </c>
      <c r="F15" s="7" t="n"/>
    </row>
    <row r="16">
      <c r="A16" t="inlineStr">
        <is>
          <t>Water cans (20 L)</t>
        </is>
      </c>
      <c r="B16" s="22" t="inlineStr">
        <is>
          <t>1 per 25 guests</t>
        </is>
      </c>
      <c r="C16" s="9">
        <f>ROUNDUP(B3/25,0)</f>
        <v/>
      </c>
      <c r="D16" s="7" t="inlineStr">
        <is>
          <t>No</t>
        </is>
      </c>
      <c r="E16" s="7" t="inlineStr">
        <is>
          <t>No</t>
        </is>
      </c>
      <c r="F16" s="7" t="n"/>
    </row>
    <row r="17">
      <c r="A17" t="inlineStr">
        <is>
          <t>Wet and dry waste bins</t>
        </is>
      </c>
      <c r="B17" s="22" t="inlineStr">
        <is>
          <t>1 pair per line</t>
        </is>
      </c>
      <c r="C17" s="9">
        <f>B5*2</f>
        <v/>
      </c>
      <c r="D17" s="7" t="inlineStr">
        <is>
          <t>No</t>
        </is>
      </c>
      <c r="E17" s="7" t="inlineStr">
        <is>
          <t>No</t>
        </is>
      </c>
      <c r="F17" s="7" t="n"/>
    </row>
    <row r="19">
      <c r="A19" t="inlineStr">
        <is>
          <t>Items not yet packed</t>
        </is>
      </c>
      <c r="C19" s="11">
        <f>COUNTIF(D8:D17,"No")</f>
        <v/>
      </c>
    </row>
    <row r="20">
      <c r="A20" t="inlineStr">
        <is>
          <t>Items not yet loaded</t>
        </is>
      </c>
      <c r="C20" s="11">
        <f>COUNTIF(E8:E17,"No")</f>
        <v/>
      </c>
    </row>
    <row r="21">
      <c r="A21" t="inlineStr">
        <is>
          <t>Returned short or damaged</t>
        </is>
      </c>
      <c r="C21" s="11">
        <f>COUNTIF(F8:F17,"Short")+COUNTIF(F8:F17,"Damaged")</f>
        <v/>
      </c>
    </row>
  </sheetData>
  <dataValidations count="2">
    <dataValidation sqref="D8:E17" showDropDown="0" showInputMessage="0" showErrorMessage="0" allowBlank="1" type="list">
      <formula1>"Yes,No"</formula1>
    </dataValidation>
    <dataValidation sqref="F8:F17" showDropDown="0" showInputMessage="0" showErrorMessage="0" allowBlank="1" type="list">
      <formula1>"OK,Short,Damaged"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2026-09-24T19:43:25Z</dcterms:created>
  <dcterms:modified xmlns:dcterms="http://purl.org/dc/terms/" xmlns:xsi="http://www.w3.org/2001/XMLSchema-instance" xsi:type="dcterms:W3CDTF">2026-09-24T19:43:25Z</dcterms:modified>
</cp:coreProperties>
</file>